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55" yWindow="60" windowWidth="11745" windowHeight="12150"/>
  </bookViews>
  <sheets>
    <sheet name="2014 Series)" sheetId="29" r:id="rId1"/>
  </sheets>
  <externalReferences>
    <externalReference r:id="rId2"/>
  </externalReferences>
  <definedNames>
    <definedName name="_xlnm.Print_Area" localSheetId="0">'2014 Series)'!$A$1:$U$118</definedName>
  </definedNames>
  <calcPr calcId="125725"/>
</workbook>
</file>

<file path=xl/calcChain.xml><?xml version="1.0" encoding="utf-8"?>
<calcChain xmlns="http://schemas.openxmlformats.org/spreadsheetml/2006/main">
  <c r="I90" i="29"/>
  <c r="I107"/>
  <c r="I106"/>
  <c r="G90"/>
  <c r="H90" s="1"/>
  <c r="S75"/>
  <c r="S78"/>
  <c r="Q75"/>
  <c r="R75" s="1"/>
  <c r="Q78"/>
  <c r="R78" s="1"/>
  <c r="P48"/>
  <c r="R74"/>
  <c r="S74" s="1"/>
  <c r="Q74"/>
  <c r="Q73"/>
  <c r="R73" s="1"/>
  <c r="S73" s="1"/>
  <c r="G30"/>
  <c r="G55"/>
  <c r="G74"/>
  <c r="G76"/>
  <c r="G67"/>
  <c r="G70"/>
  <c r="G61"/>
  <c r="G41"/>
  <c r="G15"/>
  <c r="G14"/>
  <c r="I113"/>
  <c r="I14"/>
  <c r="I11"/>
  <c r="G39"/>
  <c r="G32"/>
  <c r="G29"/>
  <c r="G19"/>
  <c r="I19"/>
  <c r="I97" l="1"/>
  <c r="I102"/>
  <c r="I38"/>
  <c r="J107"/>
  <c r="I23"/>
  <c r="I40"/>
  <c r="P115"/>
  <c r="K115"/>
  <c r="F115"/>
  <c r="E115"/>
  <c r="D115"/>
  <c r="C115"/>
  <c r="Q114"/>
  <c r="R114" s="1"/>
  <c r="S114" s="1"/>
  <c r="T114" s="1"/>
  <c r="I114"/>
  <c r="N114" s="1"/>
  <c r="O114" s="1"/>
  <c r="Q113"/>
  <c r="R113" s="1"/>
  <c r="S113" s="1"/>
  <c r="T113" s="1"/>
  <c r="N113"/>
  <c r="O113" s="1"/>
  <c r="R112"/>
  <c r="S112" s="1"/>
  <c r="T112" s="1"/>
  <c r="Q112"/>
  <c r="I112"/>
  <c r="N112" s="1"/>
  <c r="O112" s="1"/>
  <c r="Q111"/>
  <c r="I111"/>
  <c r="I115" s="1"/>
  <c r="P108"/>
  <c r="K108"/>
  <c r="F108"/>
  <c r="E108"/>
  <c r="D108"/>
  <c r="C108"/>
  <c r="Q107"/>
  <c r="R107" s="1"/>
  <c r="S107" s="1"/>
  <c r="T107" s="1"/>
  <c r="L107"/>
  <c r="Q106"/>
  <c r="R106" s="1"/>
  <c r="J106"/>
  <c r="P103"/>
  <c r="K103"/>
  <c r="F103"/>
  <c r="E103"/>
  <c r="D103"/>
  <c r="C103"/>
  <c r="Q102"/>
  <c r="R102" s="1"/>
  <c r="S102" s="1"/>
  <c r="T102" s="1"/>
  <c r="Q101"/>
  <c r="R101" s="1"/>
  <c r="S101" s="1"/>
  <c r="T101" s="1"/>
  <c r="L101"/>
  <c r="I101"/>
  <c r="H101" s="1"/>
  <c r="M101" s="1"/>
  <c r="Q100"/>
  <c r="R100" s="1"/>
  <c r="S100" s="1"/>
  <c r="T100" s="1"/>
  <c r="L100"/>
  <c r="J100"/>
  <c r="I100"/>
  <c r="N100" s="1"/>
  <c r="O100" s="1"/>
  <c r="H100"/>
  <c r="M100" s="1"/>
  <c r="Q99"/>
  <c r="L99"/>
  <c r="J99"/>
  <c r="I99"/>
  <c r="H99" s="1"/>
  <c r="M99" s="1"/>
  <c r="Q98"/>
  <c r="R98" s="1"/>
  <c r="S98" s="1"/>
  <c r="T98" s="1"/>
  <c r="L98"/>
  <c r="J98"/>
  <c r="I98"/>
  <c r="N98" s="1"/>
  <c r="O98" s="1"/>
  <c r="T97"/>
  <c r="L97"/>
  <c r="J97"/>
  <c r="N97"/>
  <c r="O97" s="1"/>
  <c r="Q96"/>
  <c r="R96" s="1"/>
  <c r="S96" s="1"/>
  <c r="T96" s="1"/>
  <c r="L96"/>
  <c r="I96"/>
  <c r="H96" s="1"/>
  <c r="P93"/>
  <c r="K93"/>
  <c r="F93"/>
  <c r="E93"/>
  <c r="D93"/>
  <c r="C93"/>
  <c r="R92"/>
  <c r="S92" s="1"/>
  <c r="T92" s="1"/>
  <c r="Q92"/>
  <c r="I92"/>
  <c r="N92" s="1"/>
  <c r="O92" s="1"/>
  <c r="Q91"/>
  <c r="R91" s="1"/>
  <c r="S91" s="1"/>
  <c r="T91" s="1"/>
  <c r="I91"/>
  <c r="I93" s="1"/>
  <c r="T90"/>
  <c r="J90"/>
  <c r="L90"/>
  <c r="Q89"/>
  <c r="R89" s="1"/>
  <c r="S89" s="1"/>
  <c r="T89" s="1"/>
  <c r="J89"/>
  <c r="I89"/>
  <c r="H89" s="1"/>
  <c r="M89" s="1"/>
  <c r="G89"/>
  <c r="L89" s="1"/>
  <c r="Q88"/>
  <c r="J88"/>
  <c r="I88"/>
  <c r="H88" s="1"/>
  <c r="G88"/>
  <c r="L88" s="1"/>
  <c r="AB84"/>
  <c r="P84"/>
  <c r="K84"/>
  <c r="F84"/>
  <c r="E84"/>
  <c r="D84"/>
  <c r="C84"/>
  <c r="AB83"/>
  <c r="Q83"/>
  <c r="R83" s="1"/>
  <c r="S83" s="1"/>
  <c r="T83" s="1"/>
  <c r="J83"/>
  <c r="I83"/>
  <c r="H83" s="1"/>
  <c r="M83" s="1"/>
  <c r="G83"/>
  <c r="L83" s="1"/>
  <c r="AB82"/>
  <c r="T82"/>
  <c r="I82"/>
  <c r="AB81"/>
  <c r="Q81"/>
  <c r="R81" s="1"/>
  <c r="S81" s="1"/>
  <c r="T81" s="1"/>
  <c r="J81"/>
  <c r="I81"/>
  <c r="N81" s="1"/>
  <c r="O81" s="1"/>
  <c r="AB80"/>
  <c r="Q80"/>
  <c r="R80" s="1"/>
  <c r="S80" s="1"/>
  <c r="T80" s="1"/>
  <c r="L80"/>
  <c r="J80"/>
  <c r="I80"/>
  <c r="H80" s="1"/>
  <c r="M80" s="1"/>
  <c r="AB79"/>
  <c r="Q79"/>
  <c r="R79" s="1"/>
  <c r="S79" s="1"/>
  <c r="T79" s="1"/>
  <c r="J79"/>
  <c r="I79"/>
  <c r="H79" s="1"/>
  <c r="M79" s="1"/>
  <c r="G79"/>
  <c r="L79" s="1"/>
  <c r="AB78"/>
  <c r="T78"/>
  <c r="J78"/>
  <c r="I78"/>
  <c r="N78" s="1"/>
  <c r="O78" s="1"/>
  <c r="H78"/>
  <c r="M78" s="1"/>
  <c r="G78"/>
  <c r="L78" s="1"/>
  <c r="AB77"/>
  <c r="Q77"/>
  <c r="R77" s="1"/>
  <c r="S77" s="1"/>
  <c r="T77" s="1"/>
  <c r="I77"/>
  <c r="AB76"/>
  <c r="Q76"/>
  <c r="R76" s="1"/>
  <c r="S76" s="1"/>
  <c r="T76" s="1"/>
  <c r="I76"/>
  <c r="N76" s="1"/>
  <c r="O76" s="1"/>
  <c r="AB75"/>
  <c r="T75"/>
  <c r="J75"/>
  <c r="I75"/>
  <c r="H75" s="1"/>
  <c r="M75" s="1"/>
  <c r="G75"/>
  <c r="L75" s="1"/>
  <c r="AB74"/>
  <c r="T74"/>
  <c r="J74"/>
  <c r="I74"/>
  <c r="N74" s="1"/>
  <c r="O74" s="1"/>
  <c r="L74"/>
  <c r="AB73"/>
  <c r="T73"/>
  <c r="I73"/>
  <c r="N73" s="1"/>
  <c r="O73" s="1"/>
  <c r="AB72"/>
  <c r="Q72"/>
  <c r="R72" s="1"/>
  <c r="S72" s="1"/>
  <c r="T72" s="1"/>
  <c r="I72"/>
  <c r="N72" s="1"/>
  <c r="O72" s="1"/>
  <c r="AB71"/>
  <c r="T71"/>
  <c r="J71"/>
  <c r="I71"/>
  <c r="N71" s="1"/>
  <c r="O71" s="1"/>
  <c r="G71"/>
  <c r="L71" s="1"/>
  <c r="AB70"/>
  <c r="Q70"/>
  <c r="R70" s="1"/>
  <c r="S70" s="1"/>
  <c r="T70" s="1"/>
  <c r="I70"/>
  <c r="N70" s="1"/>
  <c r="O70" s="1"/>
  <c r="AB69"/>
  <c r="Q69"/>
  <c r="R69" s="1"/>
  <c r="S69" s="1"/>
  <c r="T69" s="1"/>
  <c r="I69"/>
  <c r="I84" s="1"/>
  <c r="AB68"/>
  <c r="Q68"/>
  <c r="R68" s="1"/>
  <c r="S68" s="1"/>
  <c r="T68" s="1"/>
  <c r="J68"/>
  <c r="I68"/>
  <c r="H68" s="1"/>
  <c r="M68" s="1"/>
  <c r="G68"/>
  <c r="L68" s="1"/>
  <c r="AB67"/>
  <c r="Q67"/>
  <c r="J67"/>
  <c r="I67"/>
  <c r="N67" s="1"/>
  <c r="L67"/>
  <c r="K64"/>
  <c r="F64"/>
  <c r="E64"/>
  <c r="D64"/>
  <c r="C64"/>
  <c r="Q63"/>
  <c r="R63" s="1"/>
  <c r="S63" s="1"/>
  <c r="T63" s="1"/>
  <c r="I63"/>
  <c r="N63" s="1"/>
  <c r="O63" s="1"/>
  <c r="R62"/>
  <c r="S62" s="1"/>
  <c r="T62" s="1"/>
  <c r="Q62"/>
  <c r="I62"/>
  <c r="N62" s="1"/>
  <c r="O62" s="1"/>
  <c r="Q61"/>
  <c r="R61" s="1"/>
  <c r="S61" s="1"/>
  <c r="T61" s="1"/>
  <c r="I61"/>
  <c r="N61" s="1"/>
  <c r="O61" s="1"/>
  <c r="Q60"/>
  <c r="R60" s="1"/>
  <c r="S60" s="1"/>
  <c r="T60" s="1"/>
  <c r="I60"/>
  <c r="N60" s="1"/>
  <c r="O60" s="1"/>
  <c r="Q59"/>
  <c r="R59" s="1"/>
  <c r="S59" s="1"/>
  <c r="T59" s="1"/>
  <c r="I59"/>
  <c r="N59" s="1"/>
  <c r="O59" s="1"/>
  <c r="Q58"/>
  <c r="R58" s="1"/>
  <c r="S58" s="1"/>
  <c r="T58" s="1"/>
  <c r="I58"/>
  <c r="N58" s="1"/>
  <c r="O58" s="1"/>
  <c r="Q57"/>
  <c r="R57" s="1"/>
  <c r="S57" s="1"/>
  <c r="T57" s="1"/>
  <c r="I57"/>
  <c r="N57" s="1"/>
  <c r="O57" s="1"/>
  <c r="Q56"/>
  <c r="R56" s="1"/>
  <c r="S56" s="1"/>
  <c r="T56" s="1"/>
  <c r="I56"/>
  <c r="N56" s="1"/>
  <c r="O56" s="1"/>
  <c r="Q55"/>
  <c r="R55" s="1"/>
  <c r="S55" s="1"/>
  <c r="T55" s="1"/>
  <c r="I55"/>
  <c r="N55" s="1"/>
  <c r="O55" s="1"/>
  <c r="R54"/>
  <c r="S54" s="1"/>
  <c r="T54" s="1"/>
  <c r="Q54"/>
  <c r="I54"/>
  <c r="N54" s="1"/>
  <c r="O54" s="1"/>
  <c r="Q53"/>
  <c r="R53" s="1"/>
  <c r="S53" s="1"/>
  <c r="T53" s="1"/>
  <c r="I53"/>
  <c r="N53" s="1"/>
  <c r="O53" s="1"/>
  <c r="Q52"/>
  <c r="I52"/>
  <c r="N52" s="1"/>
  <c r="O52" s="1"/>
  <c r="Q51"/>
  <c r="R51" s="1"/>
  <c r="I51"/>
  <c r="I64" s="1"/>
  <c r="AC48"/>
  <c r="AB48"/>
  <c r="K48"/>
  <c r="F48"/>
  <c r="E48"/>
  <c r="D48"/>
  <c r="C48"/>
  <c r="AC47"/>
  <c r="AB47"/>
  <c r="Q47"/>
  <c r="R47" s="1"/>
  <c r="S47" s="1"/>
  <c r="T47" s="1"/>
  <c r="I47"/>
  <c r="N47" s="1"/>
  <c r="O47" s="1"/>
  <c r="AC46"/>
  <c r="AB46"/>
  <c r="Q46"/>
  <c r="R46" s="1"/>
  <c r="S46" s="1"/>
  <c r="T46" s="1"/>
  <c r="J46"/>
  <c r="I46"/>
  <c r="N46" s="1"/>
  <c r="O46" s="1"/>
  <c r="G46"/>
  <c r="L46" s="1"/>
  <c r="AC45"/>
  <c r="AB45"/>
  <c r="Q45"/>
  <c r="R45" s="1"/>
  <c r="S45" s="1"/>
  <c r="T45" s="1"/>
  <c r="I45"/>
  <c r="N45" s="1"/>
  <c r="O45" s="1"/>
  <c r="AC44"/>
  <c r="AB44"/>
  <c r="Q44"/>
  <c r="R44" s="1"/>
  <c r="J44"/>
  <c r="I44"/>
  <c r="N44" s="1"/>
  <c r="O44" s="1"/>
  <c r="G44"/>
  <c r="L44" s="1"/>
  <c r="AC43"/>
  <c r="AB43"/>
  <c r="Q43"/>
  <c r="R43" s="1"/>
  <c r="I43"/>
  <c r="N43" s="1"/>
  <c r="O43" s="1"/>
  <c r="AC42"/>
  <c r="AB42"/>
  <c r="Q42"/>
  <c r="R42" s="1"/>
  <c r="S42" s="1"/>
  <c r="T42" s="1"/>
  <c r="J42"/>
  <c r="I42"/>
  <c r="N42" s="1"/>
  <c r="O42" s="1"/>
  <c r="G42"/>
  <c r="L42" s="1"/>
  <c r="AC41"/>
  <c r="AB41"/>
  <c r="Q41"/>
  <c r="R41" s="1"/>
  <c r="S41" s="1"/>
  <c r="T41" s="1"/>
  <c r="I41"/>
  <c r="N41" s="1"/>
  <c r="O41" s="1"/>
  <c r="AC40"/>
  <c r="AB40"/>
  <c r="Q40"/>
  <c r="R40" s="1"/>
  <c r="S40" s="1"/>
  <c r="T40" s="1"/>
  <c r="N40"/>
  <c r="O40" s="1"/>
  <c r="G40"/>
  <c r="L40" s="1"/>
  <c r="AC39"/>
  <c r="AB39"/>
  <c r="Q39"/>
  <c r="R39" s="1"/>
  <c r="S39" s="1"/>
  <c r="T39" s="1"/>
  <c r="I39"/>
  <c r="N39" s="1"/>
  <c r="O39" s="1"/>
  <c r="AC38"/>
  <c r="AB38"/>
  <c r="Q38"/>
  <c r="R38" s="1"/>
  <c r="S38" s="1"/>
  <c r="T38" s="1"/>
  <c r="N38"/>
  <c r="O38" s="1"/>
  <c r="G38"/>
  <c r="L38" s="1"/>
  <c r="AC37"/>
  <c r="AB37"/>
  <c r="Q37"/>
  <c r="R37" s="1"/>
  <c r="S37" s="1"/>
  <c r="T37" s="1"/>
  <c r="I37"/>
  <c r="N37" s="1"/>
  <c r="O37" s="1"/>
  <c r="AC36"/>
  <c r="AB36"/>
  <c r="Q36"/>
  <c r="R36" s="1"/>
  <c r="S36" s="1"/>
  <c r="T36" s="1"/>
  <c r="I36"/>
  <c r="N36" s="1"/>
  <c r="O36" s="1"/>
  <c r="G36"/>
  <c r="L36" s="1"/>
  <c r="AC35"/>
  <c r="AB35"/>
  <c r="Q35"/>
  <c r="R35" s="1"/>
  <c r="S35" s="1"/>
  <c r="T35" s="1"/>
  <c r="I35"/>
  <c r="N35" s="1"/>
  <c r="O35" s="1"/>
  <c r="AC34"/>
  <c r="AB34"/>
  <c r="Q34"/>
  <c r="R34" s="1"/>
  <c r="S34" s="1"/>
  <c r="T34" s="1"/>
  <c r="N34"/>
  <c r="O34" s="1"/>
  <c r="L34"/>
  <c r="J34"/>
  <c r="G34"/>
  <c r="H34" s="1"/>
  <c r="M34" s="1"/>
  <c r="AC33"/>
  <c r="AB33"/>
  <c r="Q33"/>
  <c r="R33" s="1"/>
  <c r="S33" s="1"/>
  <c r="T33" s="1"/>
  <c r="I33"/>
  <c r="N33" s="1"/>
  <c r="O33" s="1"/>
  <c r="AC32"/>
  <c r="AB32"/>
  <c r="T32"/>
  <c r="I32"/>
  <c r="N32" s="1"/>
  <c r="O32" s="1"/>
  <c r="L32"/>
  <c r="AC31"/>
  <c r="AB31"/>
  <c r="Q31"/>
  <c r="R31" s="1"/>
  <c r="S31" s="1"/>
  <c r="T31" s="1"/>
  <c r="I31"/>
  <c r="N31" s="1"/>
  <c r="O31" s="1"/>
  <c r="AC30"/>
  <c r="AB30"/>
  <c r="Q30"/>
  <c r="R30" s="1"/>
  <c r="S30" s="1"/>
  <c r="T30" s="1"/>
  <c r="L30"/>
  <c r="I30"/>
  <c r="N30" s="1"/>
  <c r="O30" s="1"/>
  <c r="H30"/>
  <c r="M30" s="1"/>
  <c r="AC29"/>
  <c r="AB29"/>
  <c r="Q29"/>
  <c r="R29" s="1"/>
  <c r="S29" s="1"/>
  <c r="T29" s="1"/>
  <c r="I29"/>
  <c r="N29" s="1"/>
  <c r="O29" s="1"/>
  <c r="AC28"/>
  <c r="AB28"/>
  <c r="Q28"/>
  <c r="R28" s="1"/>
  <c r="S28" s="1"/>
  <c r="T28" s="1"/>
  <c r="I28"/>
  <c r="N28" s="1"/>
  <c r="O28" s="1"/>
  <c r="G28"/>
  <c r="H28" s="1"/>
  <c r="M28" s="1"/>
  <c r="AC27"/>
  <c r="AB27"/>
  <c r="Q27"/>
  <c r="R27" s="1"/>
  <c r="S27" s="1"/>
  <c r="T27" s="1"/>
  <c r="N27"/>
  <c r="O27" s="1"/>
  <c r="I27"/>
  <c r="J27" s="1"/>
  <c r="AC26"/>
  <c r="AB26"/>
  <c r="Q26"/>
  <c r="R26" s="1"/>
  <c r="S26" s="1"/>
  <c r="T26" s="1"/>
  <c r="I26"/>
  <c r="N26" s="1"/>
  <c r="O26" s="1"/>
  <c r="G26"/>
  <c r="H26" s="1"/>
  <c r="M26" s="1"/>
  <c r="AC25"/>
  <c r="AB25"/>
  <c r="Q25"/>
  <c r="R25" s="1"/>
  <c r="S25" s="1"/>
  <c r="T25" s="1"/>
  <c r="I25"/>
  <c r="J25" s="1"/>
  <c r="AC24"/>
  <c r="AB24"/>
  <c r="Q24"/>
  <c r="R24" s="1"/>
  <c r="S24" s="1"/>
  <c r="T24" s="1"/>
  <c r="I24"/>
  <c r="N24" s="1"/>
  <c r="O24" s="1"/>
  <c r="G24"/>
  <c r="H24" s="1"/>
  <c r="M24" s="1"/>
  <c r="AC23"/>
  <c r="AB23"/>
  <c r="Q23"/>
  <c r="R23" s="1"/>
  <c r="S23" s="1"/>
  <c r="T23" s="1"/>
  <c r="J23"/>
  <c r="AC22"/>
  <c r="AB22"/>
  <c r="Q22"/>
  <c r="R22" s="1"/>
  <c r="S22" s="1"/>
  <c r="T22" s="1"/>
  <c r="O22"/>
  <c r="J22"/>
  <c r="AC21"/>
  <c r="AB21"/>
  <c r="Q21"/>
  <c r="O21"/>
  <c r="I21"/>
  <c r="J21" s="1"/>
  <c r="G21"/>
  <c r="H21" s="1"/>
  <c r="AC20"/>
  <c r="AB20"/>
  <c r="Q20"/>
  <c r="R20" s="1"/>
  <c r="I20"/>
  <c r="J20" s="1"/>
  <c r="AC19"/>
  <c r="AB19"/>
  <c r="T19"/>
  <c r="O19"/>
  <c r="J19"/>
  <c r="P16"/>
  <c r="F16"/>
  <c r="E16"/>
  <c r="D16"/>
  <c r="C16"/>
  <c r="T15"/>
  <c r="N15"/>
  <c r="O15" s="1"/>
  <c r="K15"/>
  <c r="J15"/>
  <c r="I15"/>
  <c r="L15" s="1"/>
  <c r="Q14"/>
  <c r="R14" s="1"/>
  <c r="S14" s="1"/>
  <c r="T14" s="1"/>
  <c r="N14"/>
  <c r="K14"/>
  <c r="J14"/>
  <c r="Q13"/>
  <c r="R13" s="1"/>
  <c r="S13" s="1"/>
  <c r="T13" s="1"/>
  <c r="L13"/>
  <c r="K13"/>
  <c r="I13"/>
  <c r="N13" s="1"/>
  <c r="O13" s="1"/>
  <c r="H13"/>
  <c r="M13" s="1"/>
  <c r="G13"/>
  <c r="Q12"/>
  <c r="R12" s="1"/>
  <c r="S12" s="1"/>
  <c r="T12" s="1"/>
  <c r="K12"/>
  <c r="I12"/>
  <c r="Q11"/>
  <c r="R11" s="1"/>
  <c r="K11"/>
  <c r="J11"/>
  <c r="P8"/>
  <c r="P117" s="1"/>
  <c r="F8"/>
  <c r="F117" s="1"/>
  <c r="E8"/>
  <c r="E117" s="1"/>
  <c r="D8"/>
  <c r="D117" s="1"/>
  <c r="C8"/>
  <c r="Q7"/>
  <c r="R7" s="1"/>
  <c r="S7" s="1"/>
  <c r="T7" s="1"/>
  <c r="K7"/>
  <c r="I7"/>
  <c r="R6"/>
  <c r="S6" s="1"/>
  <c r="T6" s="1"/>
  <c r="Q6"/>
  <c r="K6"/>
  <c r="I6"/>
  <c r="Q5"/>
  <c r="R5" s="1"/>
  <c r="S5" s="1"/>
  <c r="T5" s="1"/>
  <c r="O5"/>
  <c r="N5"/>
  <c r="K5"/>
  <c r="J5"/>
  <c r="I5"/>
  <c r="H5" s="1"/>
  <c r="M5" s="1"/>
  <c r="G5"/>
  <c r="L5" s="1"/>
  <c r="Q4"/>
  <c r="R4" s="1"/>
  <c r="S4" s="1"/>
  <c r="T4" s="1"/>
  <c r="K4"/>
  <c r="K8" s="1"/>
  <c r="I4"/>
  <c r="N4" s="1"/>
  <c r="O4" s="1"/>
  <c r="H4"/>
  <c r="M4" s="1"/>
  <c r="G4"/>
  <c r="L4" s="1"/>
  <c r="Q3"/>
  <c r="R3" s="1"/>
  <c r="S3" s="1"/>
  <c r="T3" s="1"/>
  <c r="K3"/>
  <c r="I3"/>
  <c r="Q2"/>
  <c r="R2" s="1"/>
  <c r="K2"/>
  <c r="J2"/>
  <c r="I2"/>
  <c r="S43" l="1"/>
  <c r="T43" s="1"/>
  <c r="Q84"/>
  <c r="Q93"/>
  <c r="T44"/>
  <c r="S44"/>
  <c r="Q64"/>
  <c r="Q115"/>
  <c r="Q48"/>
  <c r="M90"/>
  <c r="O14"/>
  <c r="C117"/>
  <c r="R16"/>
  <c r="R52"/>
  <c r="S52" s="1"/>
  <c r="T52" s="1"/>
  <c r="R111"/>
  <c r="S111" s="1"/>
  <c r="Q103"/>
  <c r="M107"/>
  <c r="J108"/>
  <c r="G108"/>
  <c r="G6"/>
  <c r="L6" s="1"/>
  <c r="S20"/>
  <c r="N7"/>
  <c r="O7" s="1"/>
  <c r="J7"/>
  <c r="G7"/>
  <c r="L14"/>
  <c r="H14"/>
  <c r="M14" s="1"/>
  <c r="M96"/>
  <c r="R108"/>
  <c r="S106"/>
  <c r="Q8"/>
  <c r="Q16"/>
  <c r="R8"/>
  <c r="J6"/>
  <c r="S11"/>
  <c r="N3"/>
  <c r="O3" s="1"/>
  <c r="J3"/>
  <c r="G3"/>
  <c r="L3" s="1"/>
  <c r="O67"/>
  <c r="M88"/>
  <c r="J8"/>
  <c r="N6"/>
  <c r="O6" s="1"/>
  <c r="M106"/>
  <c r="I8"/>
  <c r="G2"/>
  <c r="I16"/>
  <c r="G11"/>
  <c r="H11" s="1"/>
  <c r="N12"/>
  <c r="O12" s="1"/>
  <c r="J12"/>
  <c r="J16" s="1"/>
  <c r="G12"/>
  <c r="L12" s="1"/>
  <c r="H12"/>
  <c r="M12" s="1"/>
  <c r="T111"/>
  <c r="T115" s="1"/>
  <c r="S115"/>
  <c r="N2"/>
  <c r="H3"/>
  <c r="M3" s="1"/>
  <c r="S2"/>
  <c r="N11"/>
  <c r="K16"/>
  <c r="K117" s="1"/>
  <c r="K119" s="1"/>
  <c r="J4"/>
  <c r="J13"/>
  <c r="H15"/>
  <c r="M15" s="1"/>
  <c r="G22"/>
  <c r="H22" s="1"/>
  <c r="J24"/>
  <c r="J26"/>
  <c r="J28"/>
  <c r="J30"/>
  <c r="H31"/>
  <c r="M31" s="1"/>
  <c r="J32"/>
  <c r="G33"/>
  <c r="J36"/>
  <c r="J38"/>
  <c r="J40"/>
  <c r="H47"/>
  <c r="M47" s="1"/>
  <c r="G51"/>
  <c r="G52"/>
  <c r="G53"/>
  <c r="G54"/>
  <c r="G56"/>
  <c r="G57"/>
  <c r="G58"/>
  <c r="G59"/>
  <c r="G60"/>
  <c r="G62"/>
  <c r="G63"/>
  <c r="N68"/>
  <c r="O68" s="1"/>
  <c r="G73"/>
  <c r="N75"/>
  <c r="O75" s="1"/>
  <c r="G77"/>
  <c r="L77" s="1"/>
  <c r="N79"/>
  <c r="O79" s="1"/>
  <c r="N80"/>
  <c r="O80" s="1"/>
  <c r="G82"/>
  <c r="L82" s="1"/>
  <c r="N83"/>
  <c r="O83" s="1"/>
  <c r="N88"/>
  <c r="N89"/>
  <c r="O89" s="1"/>
  <c r="N90"/>
  <c r="O90" s="1"/>
  <c r="H97"/>
  <c r="M97" s="1"/>
  <c r="H98"/>
  <c r="M98" s="1"/>
  <c r="N99"/>
  <c r="O99" s="1"/>
  <c r="G102"/>
  <c r="N106"/>
  <c r="N107"/>
  <c r="O107" s="1"/>
  <c r="I108"/>
  <c r="Q108"/>
  <c r="G111"/>
  <c r="G112"/>
  <c r="G113"/>
  <c r="G114"/>
  <c r="N20"/>
  <c r="N23"/>
  <c r="O23" s="1"/>
  <c r="L24"/>
  <c r="N25"/>
  <c r="O25" s="1"/>
  <c r="L26"/>
  <c r="L28"/>
  <c r="G20"/>
  <c r="L20" s="1"/>
  <c r="R21"/>
  <c r="S21" s="1"/>
  <c r="T21" s="1"/>
  <c r="G23"/>
  <c r="L23" s="1"/>
  <c r="G25"/>
  <c r="L25" s="1"/>
  <c r="G27"/>
  <c r="L27" s="1"/>
  <c r="L29"/>
  <c r="G31"/>
  <c r="L31" s="1"/>
  <c r="J33"/>
  <c r="G35"/>
  <c r="L35" s="1"/>
  <c r="G37"/>
  <c r="L37" s="1"/>
  <c r="L39"/>
  <c r="L41"/>
  <c r="G43"/>
  <c r="L43" s="1"/>
  <c r="G45"/>
  <c r="L45" s="1"/>
  <c r="G47"/>
  <c r="L47" s="1"/>
  <c r="I48"/>
  <c r="J51"/>
  <c r="J52"/>
  <c r="J53"/>
  <c r="J54"/>
  <c r="J55"/>
  <c r="J56"/>
  <c r="J57"/>
  <c r="J58"/>
  <c r="J59"/>
  <c r="J60"/>
  <c r="J61"/>
  <c r="J62"/>
  <c r="J63"/>
  <c r="G69"/>
  <c r="L69" s="1"/>
  <c r="J70"/>
  <c r="G72"/>
  <c r="L72" s="1"/>
  <c r="J73"/>
  <c r="L76"/>
  <c r="J77"/>
  <c r="G81"/>
  <c r="L81" s="1"/>
  <c r="J82"/>
  <c r="R88"/>
  <c r="G91"/>
  <c r="L91" s="1"/>
  <c r="L93" s="1"/>
  <c r="G92"/>
  <c r="L92" s="1"/>
  <c r="J96"/>
  <c r="R99"/>
  <c r="S99" s="1"/>
  <c r="T99" s="1"/>
  <c r="T103" s="1"/>
  <c r="J101"/>
  <c r="J102"/>
  <c r="J111"/>
  <c r="J112"/>
  <c r="J113"/>
  <c r="J114"/>
  <c r="R115"/>
  <c r="J29"/>
  <c r="J31"/>
  <c r="H32"/>
  <c r="M32" s="1"/>
  <c r="J35"/>
  <c r="H36"/>
  <c r="M36" s="1"/>
  <c r="J37"/>
  <c r="H38"/>
  <c r="M38" s="1"/>
  <c r="J39"/>
  <c r="H40"/>
  <c r="M40" s="1"/>
  <c r="J41"/>
  <c r="H42"/>
  <c r="M42" s="1"/>
  <c r="J43"/>
  <c r="H44"/>
  <c r="M44" s="1"/>
  <c r="J45"/>
  <c r="H46"/>
  <c r="M46" s="1"/>
  <c r="J47"/>
  <c r="N51"/>
  <c r="S51"/>
  <c r="H67"/>
  <c r="R67"/>
  <c r="J69"/>
  <c r="J84" s="1"/>
  <c r="H71"/>
  <c r="M71" s="1"/>
  <c r="J72"/>
  <c r="H74"/>
  <c r="M74" s="1"/>
  <c r="J76"/>
  <c r="N77"/>
  <c r="O77" s="1"/>
  <c r="N82"/>
  <c r="O82" s="1"/>
  <c r="J91"/>
  <c r="J93" s="1"/>
  <c r="J92"/>
  <c r="N96"/>
  <c r="N101"/>
  <c r="O101" s="1"/>
  <c r="N102"/>
  <c r="O102" s="1"/>
  <c r="I103"/>
  <c r="L106"/>
  <c r="L108" s="1"/>
  <c r="N111"/>
  <c r="N69"/>
  <c r="O69" s="1"/>
  <c r="N91"/>
  <c r="O91" s="1"/>
  <c r="R64" l="1"/>
  <c r="H108"/>
  <c r="M108"/>
  <c r="H23"/>
  <c r="M23" s="1"/>
  <c r="J48"/>
  <c r="N64"/>
  <c r="O51"/>
  <c r="O64" s="1"/>
  <c r="H113"/>
  <c r="M113" s="1"/>
  <c r="L113"/>
  <c r="G103"/>
  <c r="L102"/>
  <c r="L103" s="1"/>
  <c r="O88"/>
  <c r="O93" s="1"/>
  <c r="N93"/>
  <c r="H61"/>
  <c r="M61" s="1"/>
  <c r="L61"/>
  <c r="H57"/>
  <c r="M57" s="1"/>
  <c r="L57"/>
  <c r="H53"/>
  <c r="M53" s="1"/>
  <c r="L53"/>
  <c r="O2"/>
  <c r="O8" s="1"/>
  <c r="N8"/>
  <c r="G16"/>
  <c r="L11"/>
  <c r="L16" s="1"/>
  <c r="T20"/>
  <c r="T48" s="1"/>
  <c r="S48"/>
  <c r="G48"/>
  <c r="H92"/>
  <c r="M92" s="1"/>
  <c r="H69"/>
  <c r="M69" s="1"/>
  <c r="H45"/>
  <c r="M45" s="1"/>
  <c r="H39"/>
  <c r="M39" s="1"/>
  <c r="H35"/>
  <c r="M35" s="1"/>
  <c r="I117"/>
  <c r="H82"/>
  <c r="M82" s="1"/>
  <c r="H114"/>
  <c r="M114" s="1"/>
  <c r="L114"/>
  <c r="H70"/>
  <c r="M70" s="1"/>
  <c r="L70"/>
  <c r="L84" s="1"/>
  <c r="H62"/>
  <c r="M62" s="1"/>
  <c r="L62"/>
  <c r="H58"/>
  <c r="M58" s="1"/>
  <c r="L58"/>
  <c r="H54"/>
  <c r="M54" s="1"/>
  <c r="L54"/>
  <c r="H16"/>
  <c r="M11"/>
  <c r="M16" s="1"/>
  <c r="L2"/>
  <c r="G8"/>
  <c r="T106"/>
  <c r="T108" s="1"/>
  <c r="S108"/>
  <c r="J64"/>
  <c r="S103"/>
  <c r="H81"/>
  <c r="M81" s="1"/>
  <c r="H76"/>
  <c r="M76" s="1"/>
  <c r="H27"/>
  <c r="M27" s="1"/>
  <c r="R103"/>
  <c r="N84"/>
  <c r="O20"/>
  <c r="O48" s="1"/>
  <c r="N48"/>
  <c r="H111"/>
  <c r="G115"/>
  <c r="L111"/>
  <c r="N108"/>
  <c r="O106"/>
  <c r="O108" s="1"/>
  <c r="H63"/>
  <c r="M63" s="1"/>
  <c r="L63"/>
  <c r="H59"/>
  <c r="M59" s="1"/>
  <c r="L59"/>
  <c r="H55"/>
  <c r="M55" s="1"/>
  <c r="L55"/>
  <c r="H51"/>
  <c r="G64"/>
  <c r="L51"/>
  <c r="T2"/>
  <c r="T8" s="1"/>
  <c r="S8"/>
  <c r="T11"/>
  <c r="T16" s="1"/>
  <c r="S16"/>
  <c r="H72"/>
  <c r="M72" s="1"/>
  <c r="H41"/>
  <c r="M41" s="1"/>
  <c r="H37"/>
  <c r="M37" s="1"/>
  <c r="H19"/>
  <c r="H2"/>
  <c r="H77"/>
  <c r="M77" s="1"/>
  <c r="H102"/>
  <c r="M102" s="1"/>
  <c r="M103" s="1"/>
  <c r="O84"/>
  <c r="Q117"/>
  <c r="H6"/>
  <c r="M6" s="1"/>
  <c r="N103"/>
  <c r="O96"/>
  <c r="O103" s="1"/>
  <c r="S64"/>
  <c r="T51"/>
  <c r="T64" s="1"/>
  <c r="N115"/>
  <c r="O111"/>
  <c r="O115" s="1"/>
  <c r="M67"/>
  <c r="R84"/>
  <c r="S67"/>
  <c r="R93"/>
  <c r="S88"/>
  <c r="H112"/>
  <c r="M112" s="1"/>
  <c r="L112"/>
  <c r="H73"/>
  <c r="M73" s="1"/>
  <c r="L73"/>
  <c r="H60"/>
  <c r="M60" s="1"/>
  <c r="L60"/>
  <c r="H56"/>
  <c r="M56" s="1"/>
  <c r="L56"/>
  <c r="H52"/>
  <c r="M52" s="1"/>
  <c r="L52"/>
  <c r="H33"/>
  <c r="M33" s="1"/>
  <c r="L33"/>
  <c r="L48" s="1"/>
  <c r="O11"/>
  <c r="O16" s="1"/>
  <c r="N16"/>
  <c r="H7"/>
  <c r="M7" s="1"/>
  <c r="L7"/>
  <c r="G93"/>
  <c r="G84"/>
  <c r="J115"/>
  <c r="J103"/>
  <c r="H91"/>
  <c r="H43"/>
  <c r="M43" s="1"/>
  <c r="H29"/>
  <c r="M29" s="1"/>
  <c r="H25"/>
  <c r="M25" s="1"/>
  <c r="H20"/>
  <c r="M20" s="1"/>
  <c r="R48"/>
  <c r="R117" l="1"/>
  <c r="J117"/>
  <c r="H103"/>
  <c r="T88"/>
  <c r="T93" s="1"/>
  <c r="T117" s="1"/>
  <c r="S93"/>
  <c r="H115"/>
  <c r="M111"/>
  <c r="M115" s="1"/>
  <c r="M84"/>
  <c r="H84"/>
  <c r="H64"/>
  <c r="M51"/>
  <c r="M64" s="1"/>
  <c r="M91"/>
  <c r="M93" s="1"/>
  <c r="H93"/>
  <c r="N117"/>
  <c r="H48"/>
  <c r="L64"/>
  <c r="L8"/>
  <c r="S84"/>
  <c r="T67"/>
  <c r="T84" s="1"/>
  <c r="M2"/>
  <c r="M8" s="1"/>
  <c r="H8"/>
  <c r="M48"/>
  <c r="L115"/>
  <c r="G117"/>
  <c r="O117"/>
  <c r="S117" l="1"/>
  <c r="M117"/>
  <c r="H117"/>
  <c r="L117"/>
</calcChain>
</file>

<file path=xl/sharedStrings.xml><?xml version="1.0" encoding="utf-8"?>
<sst xmlns="http://schemas.openxmlformats.org/spreadsheetml/2006/main" count="397" uniqueCount="146">
  <si>
    <t>TAZ</t>
  </si>
  <si>
    <t>District 3, Elkton</t>
  </si>
  <si>
    <t>District 5, North East</t>
  </si>
  <si>
    <t>District 4, Fair Hill</t>
  </si>
  <si>
    <t>District 9, Calvert</t>
  </si>
  <si>
    <t>District 7, Port Deposit</t>
  </si>
  <si>
    <t>District 6, Rising Sun</t>
  </si>
  <si>
    <t>District 8, Oakwood</t>
  </si>
  <si>
    <t>District 2, Ches. City</t>
  </si>
  <si>
    <t>District 1, Cecilton</t>
  </si>
  <si>
    <t>TOTAL</t>
  </si>
  <si>
    <t>NAME</t>
  </si>
  <si>
    <t>950</t>
  </si>
  <si>
    <t>960</t>
  </si>
  <si>
    <t>970</t>
  </si>
  <si>
    <t>980</t>
  </si>
  <si>
    <t>990</t>
  </si>
  <si>
    <t>995</t>
  </si>
  <si>
    <t>900</t>
  </si>
  <si>
    <t>910</t>
  </si>
  <si>
    <t>920</t>
  </si>
  <si>
    <t>930</t>
  </si>
  <si>
    <t>940</t>
  </si>
  <si>
    <t>400</t>
  </si>
  <si>
    <t>420</t>
  </si>
  <si>
    <t>430</t>
  </si>
  <si>
    <t>465</t>
  </si>
  <si>
    <t>470</t>
  </si>
  <si>
    <t>475</t>
  </si>
  <si>
    <t>480</t>
  </si>
  <si>
    <t>485</t>
  </si>
  <si>
    <t>490</t>
  </si>
  <si>
    <t>495</t>
  </si>
  <si>
    <t>500</t>
  </si>
  <si>
    <t>503</t>
  </si>
  <si>
    <t>505</t>
  </si>
  <si>
    <t>508</t>
  </si>
  <si>
    <t>510</t>
  </si>
  <si>
    <t>511</t>
  </si>
  <si>
    <t>513</t>
  </si>
  <si>
    <t>515</t>
  </si>
  <si>
    <t>516</t>
  </si>
  <si>
    <t>518</t>
  </si>
  <si>
    <t>519</t>
  </si>
  <si>
    <t>520</t>
  </si>
  <si>
    <t>575</t>
  </si>
  <si>
    <t>580</t>
  </si>
  <si>
    <t>582</t>
  </si>
  <si>
    <t>585</t>
  </si>
  <si>
    <t>590</t>
  </si>
  <si>
    <t>591</t>
  </si>
  <si>
    <t>595</t>
  </si>
  <si>
    <t>600</t>
  </si>
  <si>
    <t>602</t>
  </si>
  <si>
    <t>605</t>
  </si>
  <si>
    <t>610</t>
  </si>
  <si>
    <t>615</t>
  </si>
  <si>
    <t>620</t>
  </si>
  <si>
    <t>625</t>
  </si>
  <si>
    <t>630</t>
  </si>
  <si>
    <t>635</t>
  </si>
  <si>
    <t>640</t>
  </si>
  <si>
    <t>645</t>
  </si>
  <si>
    <t>650</t>
  </si>
  <si>
    <t>525</t>
  </si>
  <si>
    <t>528</t>
  </si>
  <si>
    <t>533</t>
  </si>
  <si>
    <t>535</t>
  </si>
  <si>
    <t>540</t>
  </si>
  <si>
    <t>543</t>
  </si>
  <si>
    <t>545</t>
  </si>
  <si>
    <t>550</t>
  </si>
  <si>
    <t>551</t>
  </si>
  <si>
    <t>552</t>
  </si>
  <si>
    <t>553</t>
  </si>
  <si>
    <t>555</t>
  </si>
  <si>
    <t>560</t>
  </si>
  <si>
    <t>563</t>
  </si>
  <si>
    <t>565</t>
  </si>
  <si>
    <t>570</t>
  </si>
  <si>
    <t>750</t>
  </si>
  <si>
    <t>760</t>
  </si>
  <si>
    <t>770</t>
  </si>
  <si>
    <t>780</t>
  </si>
  <si>
    <t>790</t>
  </si>
  <si>
    <t>695</t>
  </si>
  <si>
    <t>700</t>
  </si>
  <si>
    <t>705</t>
  </si>
  <si>
    <t>710</t>
  </si>
  <si>
    <t>720</t>
  </si>
  <si>
    <t>730</t>
  </si>
  <si>
    <t>740</t>
  </si>
  <si>
    <t>810</t>
  </si>
  <si>
    <t>820</t>
  </si>
  <si>
    <t>660</t>
  </si>
  <si>
    <t>670</t>
  </si>
  <si>
    <t>680</t>
  </si>
  <si>
    <t>690</t>
  </si>
  <si>
    <t>County Totals</t>
  </si>
  <si>
    <t>New HH</t>
  </si>
  <si>
    <t>EMP 2010</t>
  </si>
  <si>
    <t>Development Plans (HH)</t>
  </si>
  <si>
    <t>HH Chg. 2010-2040</t>
  </si>
  <si>
    <t>HH_2020</t>
  </si>
  <si>
    <t>HH_2030</t>
  </si>
  <si>
    <t>HH_2040</t>
  </si>
  <si>
    <t>MDP Control Totals</t>
  </si>
  <si>
    <t>Development Plans/Notes (HH)</t>
  </si>
  <si>
    <t>160 (Village @ Cherry Hill Expired)</t>
  </si>
  <si>
    <t>680 (Heron Lake)</t>
  </si>
  <si>
    <t>924 (W. Creek Village)</t>
  </si>
  <si>
    <t>99 (50 units expired)</t>
  </si>
  <si>
    <t>77 (69 units expired)</t>
  </si>
  <si>
    <t>334 (78 units expired)</t>
  </si>
  <si>
    <t>33 (23 units expired)</t>
  </si>
  <si>
    <t>117 (all expired)</t>
  </si>
  <si>
    <t>137 (96 expired)</t>
  </si>
  <si>
    <t>465 (233 expired)</t>
  </si>
  <si>
    <t>362 (82 expired)</t>
  </si>
  <si>
    <t>558 (281 expired)</t>
  </si>
  <si>
    <t>1337 (Village @ N.E. expired)</t>
  </si>
  <si>
    <t>25 &amp; Woodlands?</t>
  </si>
  <si>
    <t>2010 Census POP_HH</t>
  </si>
  <si>
    <t>POPHH_2020</t>
  </si>
  <si>
    <t>POPHH_2030</t>
  </si>
  <si>
    <t>POPHH_2040</t>
  </si>
  <si>
    <t>EMP_20</t>
  </si>
  <si>
    <t>EMP_10</t>
  </si>
  <si>
    <t>EMP_30</t>
  </si>
  <si>
    <t>EMP_40</t>
  </si>
  <si>
    <t>POP_10</t>
  </si>
  <si>
    <t>POP_20</t>
  </si>
  <si>
    <t>POP_30</t>
  </si>
  <si>
    <t>POP_40</t>
  </si>
  <si>
    <t>HH_10</t>
  </si>
  <si>
    <t>HH_40</t>
  </si>
  <si>
    <t>HH_30</t>
  </si>
  <si>
    <t>HH_20</t>
  </si>
  <si>
    <t>POP Chg. 2010-2040</t>
  </si>
  <si>
    <t>EMP Chg. 2010-2040</t>
  </si>
  <si>
    <t xml:space="preserve">* Will not match MDP projections. </t>
  </si>
  <si>
    <t>Group Quarters</t>
  </si>
  <si>
    <t>x</t>
  </si>
  <si>
    <t>xs</t>
  </si>
  <si>
    <t>xd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</si>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</sst>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%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63">
    <xf numFmtId="0" fontId="0" fillId="0" borderId="0" xfId="0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/>
    <xf numFmtId="1" fontId="2" fillId="2" borderId="6" xfId="0" applyNumberFormat="1" applyFont="1" applyFill="1" applyBorder="1"/>
    <xf numFmtId="3" fontId="2" fillId="2" borderId="6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1" fontId="3" fillId="6" borderId="8" xfId="0" applyNumberFormat="1" applyFont="1" applyFill="1" applyBorder="1" applyAlignment="1">
      <alignment horizontal="center" wrapText="1"/>
    </xf>
    <xf numFmtId="0" fontId="10" fillId="0" borderId="0" xfId="0" applyFont="1"/>
    <xf numFmtId="1" fontId="6" fillId="0" borderId="14" xfId="0" applyNumberFormat="1" applyFont="1" applyBorder="1"/>
    <xf numFmtId="1" fontId="6" fillId="0" borderId="13" xfId="0" applyNumberFormat="1" applyFont="1" applyBorder="1"/>
    <xf numFmtId="3" fontId="6" fillId="7" borderId="13" xfId="0" applyNumberFormat="1" applyFont="1" applyFill="1" applyBorder="1" applyAlignment="1">
      <alignment horizontal="center"/>
    </xf>
    <xf numFmtId="3" fontId="6" fillId="4" borderId="13" xfId="0" applyNumberFormat="1" applyFont="1" applyFill="1" applyBorder="1" applyAlignment="1">
      <alignment horizontal="center"/>
    </xf>
    <xf numFmtId="1" fontId="7" fillId="0" borderId="0" xfId="0" applyNumberFormat="1" applyFont="1"/>
    <xf numFmtId="1" fontId="11" fillId="0" borderId="0" xfId="0" applyNumberFormat="1" applyFont="1"/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7" fillId="0" borderId="0" xfId="0" applyFont="1"/>
    <xf numFmtId="1" fontId="6" fillId="7" borderId="14" xfId="0" applyNumberFormat="1" applyFont="1" applyFill="1" applyBorder="1"/>
    <xf numFmtId="1" fontId="6" fillId="7" borderId="13" xfId="0" applyNumberFormat="1" applyFont="1" applyFill="1" applyBorder="1"/>
    <xf numFmtId="1" fontId="6" fillId="7" borderId="14" xfId="0" applyNumberFormat="1" applyFont="1" applyFill="1" applyBorder="1" applyAlignment="1">
      <alignment horizontal="left"/>
    </xf>
    <xf numFmtId="1" fontId="6" fillId="0" borderId="14" xfId="0" applyNumberFormat="1" applyFont="1" applyBorder="1" applyAlignment="1">
      <alignment horizontal="left"/>
    </xf>
    <xf numFmtId="1" fontId="6" fillId="0" borderId="16" xfId="0" applyNumberFormat="1" applyFont="1" applyBorder="1"/>
    <xf numFmtId="1" fontId="6" fillId="0" borderId="11" xfId="0" applyNumberFormat="1" applyFont="1" applyBorder="1"/>
    <xf numFmtId="3" fontId="6" fillId="4" borderId="11" xfId="0" applyNumberFormat="1" applyFont="1" applyFill="1" applyBorder="1" applyAlignment="1">
      <alignment horizontal="center"/>
    </xf>
    <xf numFmtId="3" fontId="11" fillId="7" borderId="13" xfId="0" applyNumberFormat="1" applyFont="1" applyFill="1" applyBorder="1" applyAlignment="1">
      <alignment horizontal="center"/>
    </xf>
    <xf numFmtId="1" fontId="11" fillId="8" borderId="0" xfId="0" applyNumberFormat="1" applyFont="1" applyFill="1"/>
    <xf numFmtId="1" fontId="11" fillId="8" borderId="13" xfId="0" applyNumberFormat="1" applyFont="1" applyFill="1" applyBorder="1" applyAlignment="1">
      <alignment horizontal="center"/>
    </xf>
    <xf numFmtId="3" fontId="11" fillId="8" borderId="13" xfId="0" applyNumberFormat="1" applyFont="1" applyFill="1" applyBorder="1" applyAlignment="1">
      <alignment horizontal="center"/>
    </xf>
    <xf numFmtId="3" fontId="7" fillId="8" borderId="15" xfId="0" applyNumberFormat="1" applyFont="1" applyFill="1" applyBorder="1" applyAlignment="1">
      <alignment horizontal="center"/>
    </xf>
    <xf numFmtId="0" fontId="12" fillId="8" borderId="0" xfId="0" applyFont="1" applyFill="1"/>
    <xf numFmtId="1" fontId="13" fillId="0" borderId="0" xfId="0" applyNumberFormat="1" applyFont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0" xfId="0" applyNumberFormat="1" applyFont="1"/>
    <xf numFmtId="1" fontId="7" fillId="5" borderId="13" xfId="0" applyNumberFormat="1" applyFont="1" applyFill="1" applyBorder="1"/>
    <xf numFmtId="1" fontId="7" fillId="5" borderId="13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 wrapText="1"/>
    </xf>
    <xf numFmtId="0" fontId="15" fillId="0" borderId="0" xfId="0" applyFont="1"/>
    <xf numFmtId="3" fontId="6" fillId="8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/>
    <xf numFmtId="3" fontId="2" fillId="2" borderId="13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3" fontId="11" fillId="2" borderId="13" xfId="0" applyNumberFormat="1" applyFont="1" applyFill="1" applyBorder="1" applyAlignment="1">
      <alignment horizontal="center"/>
    </xf>
    <xf numFmtId="3" fontId="6" fillId="7" borderId="11" xfId="0" applyNumberFormat="1" applyFont="1" applyFill="1" applyBorder="1" applyAlignment="1">
      <alignment horizontal="center"/>
    </xf>
    <xf numFmtId="3" fontId="14" fillId="0" borderId="13" xfId="1" applyNumberFormat="1" applyFont="1" applyBorder="1" applyAlignment="1">
      <alignment horizontal="right"/>
    </xf>
    <xf numFmtId="3" fontId="14" fillId="0" borderId="13" xfId="1" applyNumberFormat="1" applyFont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1" fontId="7" fillId="0" borderId="17" xfId="0" applyNumberFormat="1" applyFont="1" applyBorder="1"/>
    <xf numFmtId="1" fontId="11" fillId="0" borderId="17" xfId="0" applyNumberFormat="1" applyFont="1" applyBorder="1"/>
    <xf numFmtId="3" fontId="8" fillId="0" borderId="17" xfId="0" applyNumberFormat="1" applyFont="1" applyBorder="1" applyAlignment="1">
      <alignment horizontal="center"/>
    </xf>
    <xf numFmtId="3" fontId="11" fillId="7" borderId="17" xfId="0" applyNumberFormat="1" applyFont="1" applyFill="1" applyBorder="1" applyAlignment="1">
      <alignment horizontal="center"/>
    </xf>
    <xf numFmtId="3" fontId="11" fillId="7" borderId="12" xfId="0" applyNumberFormat="1" applyFont="1" applyFill="1" applyBorder="1" applyAlignment="1">
      <alignment horizontal="center"/>
    </xf>
    <xf numFmtId="3" fontId="11" fillId="7" borderId="18" xfId="0" applyNumberFormat="1" applyFont="1" applyFill="1" applyBorder="1" applyAlignment="1">
      <alignment horizontal="center"/>
    </xf>
    <xf numFmtId="1" fontId="13" fillId="0" borderId="0" xfId="0" applyNumberFormat="1" applyFont="1" applyAlignment="1">
      <alignment horizontal="left"/>
    </xf>
    <xf numFmtId="164" fontId="10" fillId="0" borderId="0" xfId="5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3"/>
    <cellStyle name="Percent" xfId="5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cil_TAZ_2014_EM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2014 Employment  (final)"/>
      <sheetName val="2014 Employment  (2)"/>
      <sheetName val="2014 Employment "/>
      <sheetName val="2013 District Controls"/>
      <sheetName val="Sheet1"/>
      <sheetName val="2013 Households"/>
      <sheetName val="2013 Employ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O2">
            <v>197.33525041936258</v>
          </cell>
          <cell r="AM2">
            <v>200</v>
          </cell>
          <cell r="BK2">
            <v>210</v>
          </cell>
          <cell r="CI2">
            <v>220</v>
          </cell>
        </row>
        <row r="3">
          <cell r="O3">
            <v>375.11460830562208</v>
          </cell>
          <cell r="AM3">
            <v>390</v>
          </cell>
          <cell r="BK3">
            <v>400</v>
          </cell>
          <cell r="CI3">
            <v>425</v>
          </cell>
        </row>
        <row r="4">
          <cell r="O4">
            <v>45.570107858243453</v>
          </cell>
          <cell r="AM4">
            <v>55</v>
          </cell>
          <cell r="BK4">
            <v>65</v>
          </cell>
          <cell r="CI4">
            <v>80</v>
          </cell>
        </row>
        <row r="5">
          <cell r="O5">
            <v>547.98294131346074</v>
          </cell>
          <cell r="AM5">
            <v>580</v>
          </cell>
          <cell r="BK5">
            <v>600</v>
          </cell>
          <cell r="CI5">
            <v>610</v>
          </cell>
        </row>
        <row r="6">
          <cell r="O6">
            <v>127.8823188405797</v>
          </cell>
          <cell r="AM6">
            <v>130</v>
          </cell>
          <cell r="BK6">
            <v>135</v>
          </cell>
          <cell r="CI6">
            <v>150</v>
          </cell>
        </row>
        <row r="7">
          <cell r="O7">
            <v>94.766997708174188</v>
          </cell>
          <cell r="AM7">
            <v>100</v>
          </cell>
          <cell r="BK7">
            <v>120</v>
          </cell>
          <cell r="CI7">
            <v>135</v>
          </cell>
        </row>
        <row r="11">
          <cell r="O11">
            <v>277.60298039215678</v>
          </cell>
          <cell r="AM11">
            <v>337.125</v>
          </cell>
          <cell r="BK11">
            <v>348.46000000000004</v>
          </cell>
          <cell r="CI11">
            <v>368.59999999999997</v>
          </cell>
        </row>
        <row r="12">
          <cell r="O12">
            <v>209.16997450892185</v>
          </cell>
          <cell r="AM12">
            <v>238.23500000000001</v>
          </cell>
          <cell r="BK12">
            <v>247.59</v>
          </cell>
          <cell r="CI12">
            <v>261.89999999999998</v>
          </cell>
        </row>
        <row r="13">
          <cell r="O13">
            <v>255.4062437524029</v>
          </cell>
          <cell r="AM13">
            <v>251.72</v>
          </cell>
          <cell r="BK13">
            <v>265.93</v>
          </cell>
          <cell r="CI13">
            <v>291</v>
          </cell>
        </row>
        <row r="14">
          <cell r="O14">
            <v>390.20489858012172</v>
          </cell>
          <cell r="AM14">
            <v>436.01499999999999</v>
          </cell>
          <cell r="BK14">
            <v>453.91500000000002</v>
          </cell>
          <cell r="CI14">
            <v>489.84999999999997</v>
          </cell>
        </row>
        <row r="20">
          <cell r="O20">
            <v>1170.3905945784168</v>
          </cell>
          <cell r="AM20">
            <v>1355.9</v>
          </cell>
          <cell r="BK20">
            <v>1449.5520000000001</v>
          </cell>
          <cell r="CI20">
            <v>1550.25</v>
          </cell>
        </row>
        <row r="21">
          <cell r="O21">
            <v>1505.518120830156</v>
          </cell>
          <cell r="AM21">
            <v>1683.5</v>
          </cell>
          <cell r="BK21">
            <v>1821.232</v>
          </cell>
          <cell r="CI21">
            <v>1920.75</v>
          </cell>
        </row>
        <row r="22">
          <cell r="O22">
            <v>379.15302773061694</v>
          </cell>
          <cell r="AM22">
            <v>441.35</v>
          </cell>
          <cell r="BK22">
            <v>511.06</v>
          </cell>
          <cell r="CI22">
            <v>536.25</v>
          </cell>
        </row>
        <row r="23">
          <cell r="O23">
            <v>991.17873999289304</v>
          </cell>
          <cell r="AM23">
            <v>1647.1000000000001</v>
          </cell>
          <cell r="BK23">
            <v>1746.896</v>
          </cell>
          <cell r="CI23">
            <v>1842.75</v>
          </cell>
        </row>
        <row r="24">
          <cell r="O24">
            <v>292.34985163204743</v>
          </cell>
          <cell r="AM24">
            <v>414.05</v>
          </cell>
          <cell r="BK24">
            <v>548.22800000000007</v>
          </cell>
          <cell r="CI24">
            <v>643.5</v>
          </cell>
        </row>
        <row r="25">
          <cell r="O25">
            <v>248.34757785467127</v>
          </cell>
          <cell r="AM25">
            <v>250.25</v>
          </cell>
          <cell r="BK25">
            <v>278.76</v>
          </cell>
          <cell r="CI25">
            <v>292.5</v>
          </cell>
        </row>
        <row r="26">
          <cell r="O26">
            <v>1245.8639494429979</v>
          </cell>
          <cell r="AM26">
            <v>1433.25</v>
          </cell>
          <cell r="BK26">
            <v>1505.3040000000001</v>
          </cell>
          <cell r="CI26">
            <v>1579.5</v>
          </cell>
        </row>
        <row r="27">
          <cell r="O27">
            <v>150.196</v>
          </cell>
          <cell r="AM27">
            <v>182</v>
          </cell>
          <cell r="BK27">
            <v>195.13200000000001</v>
          </cell>
          <cell r="CI27">
            <v>204.75</v>
          </cell>
        </row>
        <row r="28">
          <cell r="O28">
            <v>489.87224959646591</v>
          </cell>
          <cell r="AM28">
            <v>632.45000000000005</v>
          </cell>
          <cell r="BK28">
            <v>687.60800000000006</v>
          </cell>
          <cell r="CI28">
            <v>741</v>
          </cell>
        </row>
        <row r="29">
          <cell r="O29">
            <v>15.130645161290323</v>
          </cell>
          <cell r="AM29">
            <v>36.4</v>
          </cell>
          <cell r="BK29">
            <v>65.043999999999997</v>
          </cell>
          <cell r="CI29">
            <v>102.375</v>
          </cell>
        </row>
        <row r="30">
          <cell r="O30">
            <v>17.62037037037037</v>
          </cell>
          <cell r="AM30">
            <v>145.6</v>
          </cell>
          <cell r="BK30">
            <v>167.256</v>
          </cell>
          <cell r="CI30">
            <v>195</v>
          </cell>
        </row>
        <row r="31">
          <cell r="O31">
            <v>429.72791254070574</v>
          </cell>
          <cell r="AM31">
            <v>664.30000000000007</v>
          </cell>
          <cell r="BK31">
            <v>724.77600000000007</v>
          </cell>
          <cell r="CI31">
            <v>760.5</v>
          </cell>
        </row>
        <row r="33">
          <cell r="O33">
            <v>44.603703703703701</v>
          </cell>
          <cell r="AM33">
            <v>54.6</v>
          </cell>
          <cell r="BK33">
            <v>65.043999999999997</v>
          </cell>
          <cell r="CI33">
            <v>68.25</v>
          </cell>
        </row>
        <row r="34">
          <cell r="O34">
            <v>85.713636363636382</v>
          </cell>
          <cell r="AM34">
            <v>136.5</v>
          </cell>
          <cell r="BK34">
            <v>157.964</v>
          </cell>
          <cell r="CI34">
            <v>185.25</v>
          </cell>
        </row>
        <row r="35">
          <cell r="O35">
            <v>920.48344023270931</v>
          </cell>
          <cell r="AM35">
            <v>1046.5</v>
          </cell>
          <cell r="BK35">
            <v>1096.4560000000001</v>
          </cell>
          <cell r="CI35">
            <v>1179.75</v>
          </cell>
        </row>
        <row r="36">
          <cell r="O36">
            <v>190.04687499999997</v>
          </cell>
          <cell r="AM36">
            <v>236.6</v>
          </cell>
          <cell r="BK36">
            <v>255.53</v>
          </cell>
          <cell r="CI36">
            <v>268.125</v>
          </cell>
        </row>
        <row r="37">
          <cell r="O37">
            <v>34.20408697122609</v>
          </cell>
          <cell r="AM37">
            <v>127.4</v>
          </cell>
          <cell r="BK37">
            <v>288.05200000000002</v>
          </cell>
          <cell r="CI37">
            <v>321.75</v>
          </cell>
        </row>
        <row r="38">
          <cell r="O38">
            <v>4.9185185185185185</v>
          </cell>
          <cell r="AM38">
            <v>4.55</v>
          </cell>
          <cell r="BK38">
            <v>4.6459999999999999</v>
          </cell>
          <cell r="CI38">
            <v>4.875</v>
          </cell>
        </row>
        <row r="39">
          <cell r="O39">
            <v>1421.4275819974473</v>
          </cell>
          <cell r="AM39">
            <v>1647.1000000000001</v>
          </cell>
          <cell r="BK39">
            <v>1709.7280000000001</v>
          </cell>
          <cell r="CI39">
            <v>1803.75</v>
          </cell>
        </row>
        <row r="40">
          <cell r="O40">
            <v>1200.4899629082188</v>
          </cell>
          <cell r="AM40">
            <v>1537.9</v>
          </cell>
          <cell r="BK40">
            <v>1626.1000000000001</v>
          </cell>
          <cell r="CI40">
            <v>1725.75</v>
          </cell>
        </row>
        <row r="41">
          <cell r="O41">
            <v>140.23863636363637</v>
          </cell>
          <cell r="AM41">
            <v>191.1</v>
          </cell>
          <cell r="BK41">
            <v>213.71600000000001</v>
          </cell>
          <cell r="CI41">
            <v>224.25</v>
          </cell>
        </row>
        <row r="42">
          <cell r="O42">
            <v>24.66</v>
          </cell>
          <cell r="AM42">
            <v>27.105766415000002</v>
          </cell>
          <cell r="BK42">
            <v>32.125336599599997</v>
          </cell>
          <cell r="CI42">
            <v>33.708785174999996</v>
          </cell>
        </row>
        <row r="43">
          <cell r="O43">
            <v>110.08897637795276</v>
          </cell>
          <cell r="AM43">
            <v>136.5</v>
          </cell>
          <cell r="BK43">
            <v>148.69287447800002</v>
          </cell>
          <cell r="CI43">
            <v>180.375</v>
          </cell>
        </row>
        <row r="44">
          <cell r="O44">
            <v>5.2555555555555555</v>
          </cell>
          <cell r="AM44">
            <v>18.2</v>
          </cell>
          <cell r="BK44">
            <v>18.584</v>
          </cell>
          <cell r="CI44">
            <v>24.375</v>
          </cell>
        </row>
        <row r="45">
          <cell r="O45">
            <v>370.02881944444442</v>
          </cell>
          <cell r="AM45">
            <v>455</v>
          </cell>
          <cell r="BK45">
            <v>483.18400000000003</v>
          </cell>
          <cell r="CI45">
            <v>536.25</v>
          </cell>
        </row>
        <row r="46">
          <cell r="O46">
            <v>392.9548513902206</v>
          </cell>
          <cell r="AM46">
            <v>400.40000000000003</v>
          </cell>
          <cell r="BK46">
            <v>422.786</v>
          </cell>
          <cell r="CI46">
            <v>453.375</v>
          </cell>
        </row>
        <row r="47">
          <cell r="O47">
            <v>69.533333333333317</v>
          </cell>
          <cell r="AM47">
            <v>81.900000000000006</v>
          </cell>
          <cell r="BK47">
            <v>102.212</v>
          </cell>
          <cell r="CI47">
            <v>107.25</v>
          </cell>
        </row>
        <row r="51">
          <cell r="O51">
            <v>144.14095566502462</v>
          </cell>
          <cell r="AM51">
            <v>157.5</v>
          </cell>
          <cell r="BK51">
            <v>169.64500000000001</v>
          </cell>
          <cell r="CI51">
            <v>179.45</v>
          </cell>
        </row>
        <row r="52">
          <cell r="O52">
            <v>66.716389531023623</v>
          </cell>
          <cell r="AM52">
            <v>90</v>
          </cell>
          <cell r="BK52">
            <v>96.285000000000011</v>
          </cell>
          <cell r="CI52">
            <v>121.25</v>
          </cell>
        </row>
        <row r="53">
          <cell r="O53">
            <v>40.013000000000019</v>
          </cell>
          <cell r="AM53">
            <v>40.5</v>
          </cell>
          <cell r="BK53">
            <v>45.85</v>
          </cell>
          <cell r="CI53">
            <v>48.5</v>
          </cell>
        </row>
        <row r="54">
          <cell r="O54">
            <v>35.473513513513517</v>
          </cell>
          <cell r="AM54">
            <v>36</v>
          </cell>
          <cell r="BK54">
            <v>41.265000000000001</v>
          </cell>
          <cell r="CI54">
            <v>43.65</v>
          </cell>
        </row>
        <row r="55">
          <cell r="O55">
            <v>311.02959593717048</v>
          </cell>
          <cell r="AM55">
            <v>396</v>
          </cell>
          <cell r="BK55">
            <v>417.23500000000001</v>
          </cell>
          <cell r="CI55">
            <v>451.05</v>
          </cell>
        </row>
        <row r="56">
          <cell r="O56">
            <v>97.872311827957006</v>
          </cell>
          <cell r="AM56">
            <v>108</v>
          </cell>
          <cell r="BK56">
            <v>114.625</v>
          </cell>
          <cell r="CI56">
            <v>121.25</v>
          </cell>
        </row>
        <row r="57">
          <cell r="O57">
            <v>4.3354838709677423</v>
          </cell>
          <cell r="AM57">
            <v>135</v>
          </cell>
          <cell r="BK57">
            <v>155.89000000000001</v>
          </cell>
          <cell r="CI57">
            <v>184.29999999999998</v>
          </cell>
        </row>
        <row r="58">
          <cell r="O58">
            <v>85.36549382716052</v>
          </cell>
          <cell r="AM58">
            <v>90</v>
          </cell>
          <cell r="BK58">
            <v>100.87</v>
          </cell>
          <cell r="CI58">
            <v>116.39999999999999</v>
          </cell>
        </row>
        <row r="59">
          <cell r="O59">
            <v>94.137516378796889</v>
          </cell>
          <cell r="AM59">
            <v>144</v>
          </cell>
          <cell r="BK59">
            <v>165.06</v>
          </cell>
          <cell r="CI59">
            <v>174.6</v>
          </cell>
        </row>
        <row r="60">
          <cell r="O60">
            <v>62.399907927240058</v>
          </cell>
          <cell r="AM60">
            <v>67.5</v>
          </cell>
          <cell r="BK60">
            <v>73.36</v>
          </cell>
          <cell r="CI60">
            <v>77.599999999999994</v>
          </cell>
        </row>
        <row r="61">
          <cell r="O61">
            <v>31.153513513513516</v>
          </cell>
          <cell r="AM61">
            <v>36</v>
          </cell>
          <cell r="BK61">
            <v>41.265000000000001</v>
          </cell>
          <cell r="CI61">
            <v>43.65</v>
          </cell>
        </row>
        <row r="62">
          <cell r="O62">
            <v>4.4438172043010749</v>
          </cell>
          <cell r="AM62">
            <v>4.5</v>
          </cell>
          <cell r="BK62">
            <v>4.585</v>
          </cell>
          <cell r="CI62">
            <v>4.8499999999999996</v>
          </cell>
        </row>
        <row r="63">
          <cell r="O63">
            <v>179.67024853801169</v>
          </cell>
          <cell r="AM63">
            <v>198</v>
          </cell>
          <cell r="BK63">
            <v>206.32500000000002</v>
          </cell>
          <cell r="CI63">
            <v>218.25</v>
          </cell>
        </row>
        <row r="67">
          <cell r="O67">
            <v>122.62613122171948</v>
          </cell>
          <cell r="AM67">
            <v>145.6</v>
          </cell>
          <cell r="BK67">
            <v>174.89500000000001</v>
          </cell>
          <cell r="CI67">
            <v>184.68</v>
          </cell>
        </row>
        <row r="68">
          <cell r="O68">
            <v>23.427537599804324</v>
          </cell>
          <cell r="AM68">
            <v>27.3</v>
          </cell>
          <cell r="BK68">
            <v>27.614999999999998</v>
          </cell>
          <cell r="CI68">
            <v>29.16</v>
          </cell>
        </row>
        <row r="69">
          <cell r="O69">
            <v>108.19208403878712</v>
          </cell>
          <cell r="AM69">
            <v>145.6</v>
          </cell>
          <cell r="BK69">
            <v>174.89500000000001</v>
          </cell>
          <cell r="CI69">
            <v>184.68</v>
          </cell>
        </row>
        <row r="70">
          <cell r="O70">
            <v>381.38493790362645</v>
          </cell>
          <cell r="AM70">
            <v>495.95</v>
          </cell>
          <cell r="BK70">
            <v>570.71</v>
          </cell>
          <cell r="CI70">
            <v>602.64</v>
          </cell>
        </row>
        <row r="72">
          <cell r="O72">
            <v>171.76740012817771</v>
          </cell>
          <cell r="AM72">
            <v>218.4</v>
          </cell>
          <cell r="BK72">
            <v>257.74</v>
          </cell>
          <cell r="CI72">
            <v>272.15999999999997</v>
          </cell>
        </row>
        <row r="73">
          <cell r="O73">
            <v>1038.5070967741935</v>
          </cell>
          <cell r="AM73">
            <v>1542.45</v>
          </cell>
          <cell r="BK73">
            <v>1799.5774999999999</v>
          </cell>
          <cell r="CI73">
            <v>1929.4199999999998</v>
          </cell>
        </row>
        <row r="74">
          <cell r="O74">
            <v>685.81814244382451</v>
          </cell>
          <cell r="AM74">
            <v>869.05000000000007</v>
          </cell>
          <cell r="BK74">
            <v>1003.345</v>
          </cell>
          <cell r="CI74">
            <v>1059.48</v>
          </cell>
        </row>
        <row r="75">
          <cell r="O75">
            <v>139.76345726702078</v>
          </cell>
          <cell r="AM75">
            <v>273</v>
          </cell>
          <cell r="BK75">
            <v>349.79</v>
          </cell>
          <cell r="CI75">
            <v>379.08</v>
          </cell>
        </row>
        <row r="76">
          <cell r="O76">
            <v>552.10739152202939</v>
          </cell>
          <cell r="AM76">
            <v>764.4</v>
          </cell>
          <cell r="BK76">
            <v>874.47500000000002</v>
          </cell>
          <cell r="CI76">
            <v>933.12</v>
          </cell>
        </row>
        <row r="77">
          <cell r="O77">
            <v>64.488</v>
          </cell>
          <cell r="AM77">
            <v>236.6</v>
          </cell>
          <cell r="BK77">
            <v>276.14999999999998</v>
          </cell>
          <cell r="CI77">
            <v>320.76</v>
          </cell>
        </row>
        <row r="78">
          <cell r="O78">
            <v>587.41887349683827</v>
          </cell>
          <cell r="AM78">
            <v>691.6</v>
          </cell>
          <cell r="BK78">
            <v>754.81</v>
          </cell>
          <cell r="CI78">
            <v>816.48</v>
          </cell>
        </row>
        <row r="79">
          <cell r="O79">
            <v>1155.5542625795258</v>
          </cell>
          <cell r="AM79">
            <v>1355.9</v>
          </cell>
          <cell r="BK79">
            <v>1449.7874999999999</v>
          </cell>
          <cell r="CI79">
            <v>1550.34</v>
          </cell>
        </row>
        <row r="80">
          <cell r="O80">
            <v>4.7599999999999989</v>
          </cell>
          <cell r="AM80">
            <v>54.6</v>
          </cell>
          <cell r="BK80">
            <v>82.844999999999999</v>
          </cell>
          <cell r="CI80">
            <v>106.92</v>
          </cell>
        </row>
        <row r="81">
          <cell r="O81">
            <v>4.7599999999999989</v>
          </cell>
          <cell r="AM81">
            <v>91</v>
          </cell>
          <cell r="BK81">
            <v>138.07499999999999</v>
          </cell>
          <cell r="CI81">
            <v>165.24</v>
          </cell>
        </row>
        <row r="83">
          <cell r="O83">
            <v>71.908831168831171</v>
          </cell>
          <cell r="AM83">
            <v>455</v>
          </cell>
          <cell r="BK83">
            <v>561.505</v>
          </cell>
          <cell r="CI83">
            <v>612.36</v>
          </cell>
        </row>
        <row r="87">
          <cell r="O87">
            <v>487.76710396039596</v>
          </cell>
          <cell r="AM87">
            <v>564.20000000000005</v>
          </cell>
          <cell r="BK87">
            <v>570.71</v>
          </cell>
          <cell r="CI87">
            <v>641.52</v>
          </cell>
        </row>
        <row r="88">
          <cell r="O88">
            <v>525.23967294634531</v>
          </cell>
          <cell r="AM88">
            <v>582.4</v>
          </cell>
          <cell r="BK88">
            <v>589.12</v>
          </cell>
          <cell r="CI88">
            <v>660.96</v>
          </cell>
        </row>
        <row r="90">
          <cell r="O90">
            <v>30.587434920634923</v>
          </cell>
          <cell r="AM90">
            <v>91</v>
          </cell>
          <cell r="BK90">
            <v>92.05</v>
          </cell>
          <cell r="CI90">
            <v>136.07999999999998</v>
          </cell>
        </row>
        <row r="91">
          <cell r="O91">
            <v>430.00629370475133</v>
          </cell>
          <cell r="AM91">
            <v>473.2</v>
          </cell>
          <cell r="BK91">
            <v>487.86500000000001</v>
          </cell>
          <cell r="CI91">
            <v>554.04</v>
          </cell>
        </row>
        <row r="95">
          <cell r="O95">
            <v>223.37427790788445</v>
          </cell>
          <cell r="AM95">
            <v>434.40000000000003</v>
          </cell>
          <cell r="BK95">
            <v>561.505</v>
          </cell>
          <cell r="CI95">
            <v>631.79999999999995</v>
          </cell>
        </row>
        <row r="97">
          <cell r="O97">
            <v>228.27040322580643</v>
          </cell>
          <cell r="AM97">
            <v>501.72</v>
          </cell>
          <cell r="BK97">
            <v>635.14499999999998</v>
          </cell>
          <cell r="CI97">
            <v>675.54</v>
          </cell>
        </row>
        <row r="98">
          <cell r="O98">
            <v>40.574347826086964</v>
          </cell>
          <cell r="AM98">
            <v>108.48</v>
          </cell>
          <cell r="BK98">
            <v>156.48499999999999</v>
          </cell>
          <cell r="CI98">
            <v>204.12</v>
          </cell>
        </row>
        <row r="99">
          <cell r="O99">
            <v>345.87180068488442</v>
          </cell>
          <cell r="AM99">
            <v>854.28</v>
          </cell>
          <cell r="BK99">
            <v>957.31999999999994</v>
          </cell>
          <cell r="CI99">
            <v>1117.8</v>
          </cell>
        </row>
        <row r="100">
          <cell r="O100">
            <v>110.61918238993711</v>
          </cell>
          <cell r="AM100">
            <v>244.08</v>
          </cell>
          <cell r="BK100">
            <v>285.35500000000002</v>
          </cell>
          <cell r="CI100">
            <v>320.76</v>
          </cell>
        </row>
        <row r="101">
          <cell r="O101">
            <v>70.731428571428566</v>
          </cell>
          <cell r="AM101">
            <v>176.28</v>
          </cell>
          <cell r="BK101">
            <v>220.92</v>
          </cell>
          <cell r="CI101">
            <v>272.15999999999997</v>
          </cell>
        </row>
        <row r="105">
          <cell r="O105">
            <v>294.00664152141979</v>
          </cell>
          <cell r="AM105">
            <v>321.27500000000003</v>
          </cell>
          <cell r="BK105">
            <v>331.38</v>
          </cell>
          <cell r="CI105">
            <v>369.36</v>
          </cell>
        </row>
        <row r="106">
          <cell r="O106">
            <v>37.291495601173033</v>
          </cell>
          <cell r="AM106">
            <v>66</v>
          </cell>
          <cell r="BK106">
            <v>82.844999999999999</v>
          </cell>
          <cell r="CI106">
            <v>87.48</v>
          </cell>
        </row>
        <row r="110">
          <cell r="O110">
            <v>197.59005475802866</v>
          </cell>
          <cell r="AM110">
            <v>235.3</v>
          </cell>
          <cell r="BK110">
            <v>248.535</v>
          </cell>
          <cell r="CI110">
            <v>262.44</v>
          </cell>
        </row>
        <row r="111">
          <cell r="O111">
            <v>35.922102564102566</v>
          </cell>
          <cell r="AM111">
            <v>45.25</v>
          </cell>
          <cell r="BK111">
            <v>50.627499999999998</v>
          </cell>
          <cell r="CI111">
            <v>53.46</v>
          </cell>
        </row>
        <row r="112">
          <cell r="O112">
            <v>428.13448422453473</v>
          </cell>
          <cell r="AM112">
            <v>506.8</v>
          </cell>
          <cell r="BK112">
            <v>524.68499999999995</v>
          </cell>
          <cell r="CI112">
            <v>554.04</v>
          </cell>
        </row>
        <row r="113">
          <cell r="O113">
            <v>455.97879653498683</v>
          </cell>
          <cell r="AM113">
            <v>505</v>
          </cell>
          <cell r="BK113">
            <v>510.8775</v>
          </cell>
          <cell r="CI113">
            <v>536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0"/>
  <sheetViews>
    <sheetView tabSelected="1" zoomScale="110" zoomScaleNormal="110" zoomScaleSheetLayoutView="110" workbookViewId="0">
      <selection activeCell="N14" sqref="N14"/>
    </sheetView>
  </sheetViews>
  <sheetFormatPr defaultColWidth="9" defaultRowHeight="12.75"/>
  <cols>
    <col min="1" max="1" width="6.28515625" style="39" customWidth="1"/>
    <col min="2" max="2" width="22.28515625" style="39" customWidth="1"/>
    <col min="3" max="3" width="8.140625" style="38" customWidth="1"/>
    <col min="4" max="4" width="11.42578125" style="38" hidden="1" customWidth="1"/>
    <col min="5" max="5" width="11.28515625" style="38" hidden="1" customWidth="1"/>
    <col min="6" max="6" width="9.140625" style="38" hidden="1" customWidth="1"/>
    <col min="7" max="7" width="9.140625" style="38" customWidth="1"/>
    <col min="8" max="8" width="7.5703125" style="38" customWidth="1"/>
    <col min="9" max="9" width="8" style="38" customWidth="1"/>
    <col min="10" max="10" width="12" style="38" customWidth="1"/>
    <col min="11" max="12" width="8.7109375" style="38" customWidth="1"/>
    <col min="13" max="13" width="9.140625" style="38" customWidth="1"/>
    <col min="14" max="14" width="9.28515625" style="38" customWidth="1"/>
    <col min="15" max="15" width="12" style="38" customWidth="1"/>
    <col min="16" max="16" width="8.42578125" style="38" customWidth="1"/>
    <col min="17" max="17" width="10" style="38" customWidth="1"/>
    <col min="18" max="18" width="9.140625" style="38" customWidth="1"/>
    <col min="19" max="19" width="8.5703125" style="38" customWidth="1"/>
    <col min="20" max="20" width="12" style="38" customWidth="1"/>
    <col min="21" max="21" width="30.140625" style="38" hidden="1" customWidth="1"/>
    <col min="22" max="30" width="0" style="13" hidden="1" customWidth="1"/>
    <col min="31" max="16384" width="9" style="13"/>
  </cols>
  <sheetData>
    <row r="1" spans="1:26" ht="33" customHeight="1" thickTop="1">
      <c r="A1" s="5" t="s">
        <v>0</v>
      </c>
      <c r="B1" s="4" t="s">
        <v>11</v>
      </c>
      <c r="C1" s="4" t="s">
        <v>134</v>
      </c>
      <c r="D1" s="4" t="s">
        <v>142</v>
      </c>
      <c r="E1" s="4" t="s">
        <v>143</v>
      </c>
      <c r="F1" s="4" t="s">
        <v>144</v>
      </c>
      <c r="G1" s="4" t="s">
        <v>137</v>
      </c>
      <c r="H1" s="4" t="s">
        <v>136</v>
      </c>
      <c r="I1" s="4" t="s">
        <v>135</v>
      </c>
      <c r="J1" s="12" t="s">
        <v>102</v>
      </c>
      <c r="K1" s="4" t="s">
        <v>130</v>
      </c>
      <c r="L1" s="4" t="s">
        <v>131</v>
      </c>
      <c r="M1" s="4" t="s">
        <v>132</v>
      </c>
      <c r="N1" s="4" t="s">
        <v>133</v>
      </c>
      <c r="O1" s="12" t="s">
        <v>138</v>
      </c>
      <c r="P1" s="4" t="s">
        <v>127</v>
      </c>
      <c r="Q1" s="4" t="s">
        <v>126</v>
      </c>
      <c r="R1" s="4" t="s">
        <v>128</v>
      </c>
      <c r="S1" s="4" t="s">
        <v>129</v>
      </c>
      <c r="T1" s="12" t="s">
        <v>139</v>
      </c>
      <c r="U1" s="4" t="s">
        <v>107</v>
      </c>
      <c r="W1" s="4" t="s">
        <v>122</v>
      </c>
      <c r="X1" s="4" t="s">
        <v>123</v>
      </c>
      <c r="Y1" s="4" t="s">
        <v>124</v>
      </c>
      <c r="Z1" s="4" t="s">
        <v>125</v>
      </c>
    </row>
    <row r="2" spans="1:26">
      <c r="A2" s="14" t="s">
        <v>12</v>
      </c>
      <c r="B2" s="15" t="s">
        <v>9</v>
      </c>
      <c r="C2" s="16">
        <v>456</v>
      </c>
      <c r="D2" s="16">
        <v>473.16</v>
      </c>
      <c r="E2" s="16">
        <v>490.58000000000004</v>
      </c>
      <c r="F2" s="16">
        <v>508</v>
      </c>
      <c r="G2" s="16">
        <f>SUM(((I2-F2)/I2) *D2) +D2</f>
        <v>439.72471092077092</v>
      </c>
      <c r="H2" s="16">
        <f>SUM(I2-G2)/2 +G2</f>
        <v>457.09835546038551</v>
      </c>
      <c r="I2" s="16">
        <f>SUM(F2*0.934)</f>
        <v>474.47200000000004</v>
      </c>
      <c r="J2" s="45">
        <f t="shared" ref="J2:J7" si="0">SUM(I2-C2)</f>
        <v>18.472000000000037</v>
      </c>
      <c r="K2" s="16">
        <f t="shared" ref="K2:K7" si="1">SUM(C2*W2)</f>
        <v>1153</v>
      </c>
      <c r="L2" s="16">
        <f>SUM(G2*X2)</f>
        <v>1105.0435273867238</v>
      </c>
      <c r="M2" s="16">
        <f>SUM(H2*Y2)</f>
        <v>1146.052373935132</v>
      </c>
      <c r="N2" s="16">
        <f>SUM(I2*Z2)</f>
        <v>1184.78172232627</v>
      </c>
      <c r="O2" s="45">
        <f>SUM(N2-K2)</f>
        <v>31.781722326270028</v>
      </c>
      <c r="P2" s="16">
        <v>206.97627606038822</v>
      </c>
      <c r="Q2" s="16">
        <f>SUM('[1]2013 Employment'!AM2)-'[1]2013 Employment'!O2 +P2</f>
        <v>209.64102564102564</v>
      </c>
      <c r="R2" s="16">
        <f>SUM('[1]2013 Employment'!BK2-'[1]2013 Employment'!AM2) + Q2</f>
        <v>219.64102564102564</v>
      </c>
      <c r="S2" s="16">
        <f>SUM('[1]2013 Employment'!CI2-'[1]2013 Employment'!BK2) +R2</f>
        <v>229.64102564102564</v>
      </c>
      <c r="T2" s="45">
        <f>SUM(S2-P2)</f>
        <v>22.66474958063742</v>
      </c>
      <c r="U2" s="17">
        <v>35</v>
      </c>
      <c r="W2" s="13">
        <v>2.5285087719298245</v>
      </c>
      <c r="X2" s="13">
        <v>2.51303486008961</v>
      </c>
      <c r="Y2" s="13">
        <v>2.5072336407354561</v>
      </c>
      <c r="Z2" s="13">
        <v>2.4970529816854734</v>
      </c>
    </row>
    <row r="3" spans="1:26">
      <c r="A3" s="14" t="s">
        <v>13</v>
      </c>
      <c r="B3" s="15" t="s">
        <v>9</v>
      </c>
      <c r="C3" s="16">
        <v>256</v>
      </c>
      <c r="D3" s="16">
        <v>338.5</v>
      </c>
      <c r="E3" s="16">
        <v>422.25</v>
      </c>
      <c r="F3" s="16">
        <v>506</v>
      </c>
      <c r="G3" s="16">
        <f t="shared" ref="G3:G7" si="2">SUM(((I3-F3)/I3) *D3) +D3</f>
        <v>314.58029978586728</v>
      </c>
      <c r="H3" s="16">
        <f t="shared" ref="H3:H7" si="3">SUM(I3-G3)/2 +G3</f>
        <v>393.59214989293366</v>
      </c>
      <c r="I3" s="16">
        <f>SUM(F3*0.934)</f>
        <v>472.60400000000004</v>
      </c>
      <c r="J3" s="45">
        <f t="shared" si="0"/>
        <v>216.60400000000004</v>
      </c>
      <c r="K3" s="16">
        <f t="shared" si="1"/>
        <v>748</v>
      </c>
      <c r="L3" s="16">
        <f t="shared" ref="L3:L7" si="4">SUM(G3*X3)</f>
        <v>856.29203683083529</v>
      </c>
      <c r="M3" s="16">
        <f t="shared" ref="M3:N7" si="5">SUM(H3*Y3)</f>
        <v>1042.2953595805845</v>
      </c>
      <c r="N3" s="16">
        <f t="shared" si="5"/>
        <v>1217.2845111839902</v>
      </c>
      <c r="O3" s="45">
        <f t="shared" ref="O3:O7" si="6">SUM(N3-K3)</f>
        <v>469.28451118399016</v>
      </c>
      <c r="P3" s="16">
        <v>384.83481555950812</v>
      </c>
      <c r="Q3" s="16">
        <f>SUM('[1]2013 Employment'!AM3)-'[1]2013 Employment'!O3 +P3</f>
        <v>399.72020725388603</v>
      </c>
      <c r="R3" s="16">
        <f>SUM('[1]2013 Employment'!BK3-'[1]2013 Employment'!AM3) + Q3</f>
        <v>409.72020725388603</v>
      </c>
      <c r="S3" s="16">
        <f>SUM('[1]2013 Employment'!CI3-'[1]2013 Employment'!BK3) +R3</f>
        <v>434.72020725388603</v>
      </c>
      <c r="T3" s="45">
        <f t="shared" ref="T3:T7" si="7">SUM(S3-P3)</f>
        <v>49.885391694377915</v>
      </c>
      <c r="U3" s="17" t="s">
        <v>113</v>
      </c>
      <c r="W3" s="13">
        <v>2.921875</v>
      </c>
      <c r="X3" s="13">
        <v>2.722014180206795</v>
      </c>
      <c r="Y3" s="13">
        <v>2.6481609449378332</v>
      </c>
      <c r="Z3" s="13">
        <v>2.5756965899230435</v>
      </c>
    </row>
    <row r="4" spans="1:26">
      <c r="A4" s="14" t="s">
        <v>14</v>
      </c>
      <c r="B4" s="15" t="s">
        <v>9</v>
      </c>
      <c r="C4" s="16">
        <v>247</v>
      </c>
      <c r="D4" s="16">
        <v>289.57</v>
      </c>
      <c r="E4" s="16">
        <v>332.78499999999997</v>
      </c>
      <c r="F4" s="16">
        <v>376</v>
      </c>
      <c r="G4" s="16">
        <f t="shared" si="2"/>
        <v>269.10788008565311</v>
      </c>
      <c r="H4" s="16">
        <f t="shared" si="3"/>
        <v>310.14594004282657</v>
      </c>
      <c r="I4" s="16">
        <f>SUM(F4*0.934)</f>
        <v>351.18400000000003</v>
      </c>
      <c r="J4" s="45">
        <f t="shared" si="0"/>
        <v>104.18400000000003</v>
      </c>
      <c r="K4" s="16">
        <f t="shared" si="1"/>
        <v>628</v>
      </c>
      <c r="L4" s="16">
        <f t="shared" si="4"/>
        <v>666.775787364454</v>
      </c>
      <c r="M4" s="16">
        <f t="shared" si="5"/>
        <v>763.29904660716556</v>
      </c>
      <c r="N4" s="16">
        <f t="shared" si="5"/>
        <v>854.17669577093886</v>
      </c>
      <c r="O4" s="45">
        <f t="shared" si="6"/>
        <v>226.17669577093886</v>
      </c>
      <c r="P4" s="16">
        <v>55.501926040061633</v>
      </c>
      <c r="Q4" s="16">
        <f>SUM('[1]2013 Employment'!AM4)-'[1]2013 Employment'!O4 +P4</f>
        <v>64.931818181818187</v>
      </c>
      <c r="R4" s="16">
        <f>SUM('[1]2013 Employment'!BK4-'[1]2013 Employment'!AM4) + Q4</f>
        <v>74.931818181818187</v>
      </c>
      <c r="S4" s="16">
        <f>SUM('[1]2013 Employment'!CI4-'[1]2013 Employment'!BK4) +R4</f>
        <v>89.931818181818187</v>
      </c>
      <c r="T4" s="45">
        <f t="shared" si="7"/>
        <v>34.429892141756554</v>
      </c>
      <c r="U4" s="17">
        <v>34</v>
      </c>
      <c r="W4" s="13">
        <v>2.5425101214574899</v>
      </c>
      <c r="X4" s="13">
        <v>2.4777267285975757</v>
      </c>
      <c r="Y4" s="13">
        <v>2.4610963680574547</v>
      </c>
      <c r="Z4" s="13">
        <v>2.4322768001131565</v>
      </c>
    </row>
    <row r="5" spans="1:26">
      <c r="A5" s="14" t="s">
        <v>15</v>
      </c>
      <c r="B5" s="15" t="s">
        <v>9</v>
      </c>
      <c r="C5" s="16">
        <v>403</v>
      </c>
      <c r="D5" s="16">
        <v>468.01</v>
      </c>
      <c r="E5" s="16">
        <v>534.005</v>
      </c>
      <c r="F5" s="16">
        <v>600</v>
      </c>
      <c r="G5" s="16">
        <f t="shared" si="2"/>
        <v>434.93862955032114</v>
      </c>
      <c r="H5" s="16">
        <f t="shared" si="3"/>
        <v>497.66931477516056</v>
      </c>
      <c r="I5" s="16">
        <f>SUM(F5*0.934)</f>
        <v>560.4</v>
      </c>
      <c r="J5" s="45">
        <f t="shared" si="0"/>
        <v>157.39999999999998</v>
      </c>
      <c r="K5" s="16">
        <f t="shared" si="1"/>
        <v>984</v>
      </c>
      <c r="L5" s="16">
        <f t="shared" si="4"/>
        <v>1041.4518809113488</v>
      </c>
      <c r="M5" s="16">
        <f t="shared" si="5"/>
        <v>1188.902720895931</v>
      </c>
      <c r="N5" s="16">
        <f t="shared" si="5"/>
        <v>1327.7541788129845</v>
      </c>
      <c r="O5" s="45">
        <f t="shared" si="6"/>
        <v>343.75417881298449</v>
      </c>
      <c r="P5" s="16">
        <v>558.27497671169078</v>
      </c>
      <c r="Q5" s="16">
        <f>SUM('[1]2013 Employment'!AM5)-'[1]2013 Employment'!O5 +P5</f>
        <v>590.29203539823004</v>
      </c>
      <c r="R5" s="16">
        <f>SUM('[1]2013 Employment'!BK5-'[1]2013 Employment'!AM5) + Q5</f>
        <v>610.29203539823004</v>
      </c>
      <c r="S5" s="16">
        <f>SUM('[1]2013 Employment'!CI5-'[1]2013 Employment'!BK5) +R5</f>
        <v>620.29203539823004</v>
      </c>
      <c r="T5" s="45">
        <f t="shared" si="7"/>
        <v>62.017058686539258</v>
      </c>
      <c r="U5" s="17">
        <v>193</v>
      </c>
      <c r="W5" s="13">
        <v>2.4416873449131513</v>
      </c>
      <c r="X5" s="13">
        <v>2.3944800717933377</v>
      </c>
      <c r="Y5" s="13">
        <v>2.3889411816218953</v>
      </c>
      <c r="Z5" s="13">
        <v>2.3692972498447262</v>
      </c>
    </row>
    <row r="6" spans="1:26">
      <c r="A6" s="14" t="s">
        <v>16</v>
      </c>
      <c r="B6" s="15" t="s">
        <v>9</v>
      </c>
      <c r="C6" s="16">
        <v>366</v>
      </c>
      <c r="D6" s="16">
        <v>384.48</v>
      </c>
      <c r="E6" s="16">
        <v>403.24</v>
      </c>
      <c r="F6" s="16">
        <v>422</v>
      </c>
      <c r="G6" s="16">
        <f t="shared" si="2"/>
        <v>357.31117773019275</v>
      </c>
      <c r="H6" s="16">
        <f t="shared" si="3"/>
        <v>375.72958886509639</v>
      </c>
      <c r="I6" s="16">
        <f>SUM(F6*0.934)</f>
        <v>394.14800000000002</v>
      </c>
      <c r="J6" s="45">
        <f t="shared" si="0"/>
        <v>28.148000000000025</v>
      </c>
      <c r="K6" s="16">
        <f t="shared" si="1"/>
        <v>896</v>
      </c>
      <c r="L6" s="16">
        <f t="shared" si="4"/>
        <v>868.78250404453968</v>
      </c>
      <c r="M6" s="16">
        <f t="shared" si="5"/>
        <v>912.13627342316101</v>
      </c>
      <c r="N6" s="16">
        <f t="shared" si="5"/>
        <v>953.04216250521392</v>
      </c>
      <c r="O6" s="45">
        <f t="shared" si="6"/>
        <v>57.042162505213923</v>
      </c>
      <c r="P6" s="16">
        <v>137.52231884057971</v>
      </c>
      <c r="Q6" s="16">
        <f>SUM('[1]2013 Employment'!AM6)-'[1]2013 Employment'!O6 +P6</f>
        <v>139.64000000000001</v>
      </c>
      <c r="R6" s="16">
        <f>SUM('[1]2013 Employment'!BK6-'[1]2013 Employment'!AM6) + Q6</f>
        <v>144.64000000000001</v>
      </c>
      <c r="S6" s="16">
        <f>SUM('[1]2013 Employment'!CI6-'[1]2013 Employment'!BK6) +R6</f>
        <v>159.64000000000001</v>
      </c>
      <c r="T6" s="45">
        <f t="shared" si="7"/>
        <v>22.1176811594203</v>
      </c>
      <c r="U6" s="17" t="s">
        <v>114</v>
      </c>
      <c r="W6" s="13">
        <v>2.4480874316939891</v>
      </c>
      <c r="X6" s="13">
        <v>2.4314450769870994</v>
      </c>
      <c r="Y6" s="13">
        <v>2.4276402510068444</v>
      </c>
      <c r="Z6" s="13">
        <v>2.4179804603986672</v>
      </c>
    </row>
    <row r="7" spans="1:26">
      <c r="A7" s="14" t="s">
        <v>17</v>
      </c>
      <c r="B7" s="15" t="s">
        <v>9</v>
      </c>
      <c r="C7" s="16">
        <v>314</v>
      </c>
      <c r="D7" s="16">
        <v>335.45</v>
      </c>
      <c r="E7" s="16">
        <v>357.22500000000002</v>
      </c>
      <c r="F7" s="16">
        <v>379</v>
      </c>
      <c r="G7" s="16">
        <f t="shared" si="2"/>
        <v>313.76362385037618</v>
      </c>
      <c r="H7" s="16">
        <f t="shared" si="3"/>
        <v>334.87481192518811</v>
      </c>
      <c r="I7" s="16">
        <f>SUM(F7*0.934)+2</f>
        <v>355.98600000000005</v>
      </c>
      <c r="J7" s="45">
        <f t="shared" si="0"/>
        <v>41.986000000000047</v>
      </c>
      <c r="K7" s="16">
        <f t="shared" si="1"/>
        <v>740</v>
      </c>
      <c r="L7" s="16">
        <f t="shared" si="4"/>
        <v>734.32984858645023</v>
      </c>
      <c r="M7" s="16">
        <f t="shared" si="5"/>
        <v>783.92752105250622</v>
      </c>
      <c r="N7" s="16">
        <f t="shared" si="5"/>
        <v>830.67655867760152</v>
      </c>
      <c r="O7" s="45">
        <f t="shared" si="6"/>
        <v>90.67655867760152</v>
      </c>
      <c r="P7" s="16">
        <v>94.766997708174188</v>
      </c>
      <c r="Q7" s="16">
        <f>SUM('[1]2013 Employment'!AM7)-'[1]2013 Employment'!O7 +P7</f>
        <v>100</v>
      </c>
      <c r="R7" s="16">
        <f>SUM('[1]2013 Employment'!BK7-'[1]2013 Employment'!AM7) + Q7</f>
        <v>120</v>
      </c>
      <c r="S7" s="16">
        <f>SUM('[1]2013 Employment'!CI7-'[1]2013 Employment'!BK7) +R7</f>
        <v>135</v>
      </c>
      <c r="T7" s="45">
        <f t="shared" si="7"/>
        <v>40.233002291825812</v>
      </c>
      <c r="U7" s="17"/>
      <c r="W7" s="13">
        <v>2.3566878980891719</v>
      </c>
      <c r="X7" s="13">
        <v>2.3403919153376065</v>
      </c>
      <c r="Y7" s="13">
        <v>2.3409569580516485</v>
      </c>
      <c r="Z7" s="13">
        <v>2.3334528848819938</v>
      </c>
    </row>
    <row r="8" spans="1:26" ht="13.5" thickBot="1">
      <c r="A8" s="1"/>
      <c r="B8" s="2" t="s">
        <v>10</v>
      </c>
      <c r="C8" s="10">
        <f t="shared" ref="C8:I8" si="8">SUM(C2:C7)</f>
        <v>2042</v>
      </c>
      <c r="D8" s="10">
        <f t="shared" si="8"/>
        <v>2289.17</v>
      </c>
      <c r="E8" s="10">
        <f t="shared" si="8"/>
        <v>2540.0849999999996</v>
      </c>
      <c r="F8" s="10">
        <f t="shared" si="8"/>
        <v>2791</v>
      </c>
      <c r="G8" s="10">
        <f t="shared" si="8"/>
        <v>2129.4263219231811</v>
      </c>
      <c r="H8" s="10">
        <f t="shared" si="8"/>
        <v>2369.1101609615907</v>
      </c>
      <c r="I8" s="10">
        <f t="shared" si="8"/>
        <v>2608.7939999999999</v>
      </c>
      <c r="J8" s="10">
        <f>SUM(J2:J7)</f>
        <v>566.7940000000001</v>
      </c>
      <c r="K8" s="3">
        <f>SUM(K2:K7)</f>
        <v>5149</v>
      </c>
      <c r="L8" s="3">
        <f t="shared" ref="L8:T8" si="9">SUM(L2:L7)</f>
        <v>5272.6755851243524</v>
      </c>
      <c r="M8" s="3">
        <f t="shared" si="9"/>
        <v>5836.6132954944806</v>
      </c>
      <c r="N8" s="3">
        <f t="shared" si="9"/>
        <v>6367.7158292769991</v>
      </c>
      <c r="O8" s="3">
        <f t="shared" si="9"/>
        <v>1218.7158292769991</v>
      </c>
      <c r="P8" s="3">
        <f t="shared" si="9"/>
        <v>1437.8773109204026</v>
      </c>
      <c r="Q8" s="3">
        <f t="shared" si="9"/>
        <v>1504.2250864749601</v>
      </c>
      <c r="R8" s="3">
        <f t="shared" si="9"/>
        <v>1579.2250864749601</v>
      </c>
      <c r="S8" s="3">
        <f t="shared" si="9"/>
        <v>1669.2250864749601</v>
      </c>
      <c r="T8" s="10">
        <f t="shared" si="9"/>
        <v>231.34777555455727</v>
      </c>
      <c r="U8" s="3"/>
      <c r="W8" s="13">
        <v>2.5215475024485796</v>
      </c>
      <c r="X8" s="13">
        <v>2.4762301588785456</v>
      </c>
      <c r="Y8" s="13">
        <v>2.4637274473743997</v>
      </c>
      <c r="Z8" s="13">
        <v>2.4409481238284401</v>
      </c>
    </row>
    <row r="9" spans="1:26" s="22" customFormat="1" ht="14.25" thickTop="1" thickBot="1">
      <c r="A9" s="18"/>
      <c r="B9" s="1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W9" s="13"/>
      <c r="X9" s="13"/>
      <c r="Y9" s="13"/>
      <c r="Z9" s="13"/>
    </row>
    <row r="10" spans="1:26" ht="42" customHeight="1" thickTop="1">
      <c r="A10" s="5" t="s">
        <v>0</v>
      </c>
      <c r="B10" s="4" t="s">
        <v>11</v>
      </c>
      <c r="C10" s="4" t="s">
        <v>134</v>
      </c>
      <c r="D10" s="4" t="s">
        <v>103</v>
      </c>
      <c r="E10" s="4" t="s">
        <v>104</v>
      </c>
      <c r="F10" s="4" t="s">
        <v>105</v>
      </c>
      <c r="G10" s="4" t="s">
        <v>137</v>
      </c>
      <c r="H10" s="4" t="s">
        <v>136</v>
      </c>
      <c r="I10" s="4" t="s">
        <v>135</v>
      </c>
      <c r="J10" s="12" t="s">
        <v>102</v>
      </c>
      <c r="K10" s="4" t="s">
        <v>130</v>
      </c>
      <c r="L10" s="4" t="s">
        <v>131</v>
      </c>
      <c r="M10" s="4" t="s">
        <v>132</v>
      </c>
      <c r="N10" s="4" t="s">
        <v>133</v>
      </c>
      <c r="O10" s="12" t="s">
        <v>138</v>
      </c>
      <c r="P10" s="4" t="s">
        <v>127</v>
      </c>
      <c r="Q10" s="4" t="s">
        <v>126</v>
      </c>
      <c r="R10" s="4" t="s">
        <v>128</v>
      </c>
      <c r="S10" s="4" t="s">
        <v>129</v>
      </c>
      <c r="T10" s="12" t="s">
        <v>139</v>
      </c>
      <c r="U10" s="4" t="s">
        <v>101</v>
      </c>
    </row>
    <row r="11" spans="1:26">
      <c r="A11" s="14" t="s">
        <v>18</v>
      </c>
      <c r="B11" s="15" t="s">
        <v>8</v>
      </c>
      <c r="C11" s="16">
        <v>667</v>
      </c>
      <c r="D11" s="16">
        <v>733</v>
      </c>
      <c r="E11" s="16">
        <v>800</v>
      </c>
      <c r="F11" s="16">
        <v>867</v>
      </c>
      <c r="G11" s="16">
        <f t="shared" ref="G11:G13" si="10">SUM(((I11-F11)/I11) *D11) +D11</f>
        <v>704.59895047085035</v>
      </c>
      <c r="H11" s="16">
        <f t="shared" ref="H11:H15" si="11">SUM(I11-G11)/2 +G11</f>
        <v>769.62947523542516</v>
      </c>
      <c r="I11" s="16">
        <f>SUM(F11*0.98) -15</f>
        <v>834.66</v>
      </c>
      <c r="J11" s="45">
        <f>SUM(I11-C11)</f>
        <v>167.65999999999997</v>
      </c>
      <c r="K11" s="16">
        <f t="shared" ref="K11:K15" si="12">SUM(C11*W11)</f>
        <v>1837</v>
      </c>
      <c r="L11" s="16">
        <f t="shared" ref="L11:N15" si="13">SUM(G11*X11)</f>
        <v>1904.7892712127093</v>
      </c>
      <c r="M11" s="16">
        <f t="shared" si="13"/>
        <v>2064.1747948677216</v>
      </c>
      <c r="N11" s="16">
        <f t="shared" si="13"/>
        <v>2214.1730758455192</v>
      </c>
      <c r="O11" s="45">
        <f t="shared" ref="O11:O15" si="14">SUM(N11-K11)</f>
        <v>377.17307584551918</v>
      </c>
      <c r="P11" s="16">
        <v>274.86878431372543</v>
      </c>
      <c r="Q11" s="16">
        <f>SUM('[1]2013 Employment'!AM11)-'[1]2013 Employment'!O11 +P11</f>
        <v>334.39080392156865</v>
      </c>
      <c r="R11" s="16">
        <f>SUM('[1]2013 Employment'!BK11-'[1]2013 Employment'!AM11) + Q11</f>
        <v>345.72580392156868</v>
      </c>
      <c r="S11" s="16">
        <f>SUM('[1]2013 Employment'!CI11-'[1]2013 Employment'!BK11) +R11</f>
        <v>365.86580392156861</v>
      </c>
      <c r="T11" s="45">
        <f t="shared" ref="T11:T15" si="15">SUM(S11-P11)</f>
        <v>90.997019607843185</v>
      </c>
      <c r="U11" s="17">
        <v>70</v>
      </c>
      <c r="W11" s="13">
        <v>2.7541229385307346</v>
      </c>
      <c r="X11" s="13">
        <v>2.7033666030013643</v>
      </c>
      <c r="Y11" s="13">
        <v>2.6820370857500002</v>
      </c>
      <c r="Z11" s="13">
        <v>2.6527844581572366</v>
      </c>
    </row>
    <row r="12" spans="1:26">
      <c r="A12" s="14" t="s">
        <v>19</v>
      </c>
      <c r="B12" s="15" t="s">
        <v>8</v>
      </c>
      <c r="C12" s="16">
        <v>255</v>
      </c>
      <c r="D12" s="16">
        <v>290.31</v>
      </c>
      <c r="E12" s="16">
        <v>326.15499999999997</v>
      </c>
      <c r="F12" s="16">
        <v>362</v>
      </c>
      <c r="G12" s="16">
        <f t="shared" si="10"/>
        <v>269.79558886509636</v>
      </c>
      <c r="H12" s="16">
        <f t="shared" si="11"/>
        <v>303.95179443254818</v>
      </c>
      <c r="I12" s="16">
        <f>SUM(F12*0.934)</f>
        <v>338.108</v>
      </c>
      <c r="J12" s="45">
        <f>SUM(I12-C12)</f>
        <v>83.108000000000004</v>
      </c>
      <c r="K12" s="16">
        <f t="shared" si="12"/>
        <v>549</v>
      </c>
      <c r="L12" s="16">
        <f t="shared" si="13"/>
        <v>582.08389487537465</v>
      </c>
      <c r="M12" s="16">
        <f t="shared" si="13"/>
        <v>665.5029200595684</v>
      </c>
      <c r="N12" s="16">
        <f t="shared" si="13"/>
        <v>744.10454373234313</v>
      </c>
      <c r="O12" s="45">
        <f t="shared" si="14"/>
        <v>195.10454373234313</v>
      </c>
      <c r="P12" s="16">
        <v>209.16997450892185</v>
      </c>
      <c r="Q12" s="16">
        <f>SUM('[1]2013 Employment'!AM12)-'[1]2013 Employment'!O12 +P12</f>
        <v>238.23500000000001</v>
      </c>
      <c r="R12" s="16">
        <f>SUM('[1]2013 Employment'!BK12-'[1]2013 Employment'!AM12) + Q12</f>
        <v>247.59</v>
      </c>
      <c r="S12" s="16">
        <f>SUM('[1]2013 Employment'!CI12-'[1]2013 Employment'!BK12) +R12</f>
        <v>261.89999999999998</v>
      </c>
      <c r="T12" s="45">
        <f t="shared" si="15"/>
        <v>52.730025491078123</v>
      </c>
      <c r="U12" s="17">
        <v>101</v>
      </c>
      <c r="W12" s="13">
        <v>2.1529411764705881</v>
      </c>
      <c r="X12" s="13">
        <v>2.157499673452516</v>
      </c>
      <c r="Y12" s="13">
        <v>2.1895015336297159</v>
      </c>
      <c r="Z12" s="13">
        <v>2.2007895220827165</v>
      </c>
    </row>
    <row r="13" spans="1:26">
      <c r="A13" s="14" t="s">
        <v>20</v>
      </c>
      <c r="B13" s="15" t="s">
        <v>8</v>
      </c>
      <c r="C13" s="16">
        <v>71</v>
      </c>
      <c r="D13" s="16">
        <v>121.49000000000001</v>
      </c>
      <c r="E13" s="16">
        <v>172.745</v>
      </c>
      <c r="F13" s="16">
        <v>224</v>
      </c>
      <c r="G13" s="16">
        <f t="shared" si="10"/>
        <v>112.9050535331906</v>
      </c>
      <c r="H13" s="16">
        <f t="shared" si="11"/>
        <v>161.0605267665953</v>
      </c>
      <c r="I13" s="16">
        <f>SUM(F13*0.934)</f>
        <v>209.21600000000001</v>
      </c>
      <c r="J13" s="45">
        <f>SUM(I13-C13)</f>
        <v>138.21600000000001</v>
      </c>
      <c r="K13" s="16">
        <f t="shared" si="12"/>
        <v>142</v>
      </c>
      <c r="L13" s="16">
        <f t="shared" si="13"/>
        <v>225.20486959628423</v>
      </c>
      <c r="M13" s="16">
        <f t="shared" si="13"/>
        <v>332.09386474481369</v>
      </c>
      <c r="N13" s="16">
        <f t="shared" si="13"/>
        <v>432.71573882407682</v>
      </c>
      <c r="O13" s="45">
        <f t="shared" si="14"/>
        <v>290.71573882407682</v>
      </c>
      <c r="P13" s="16">
        <v>253.98402153018068</v>
      </c>
      <c r="Q13" s="16">
        <f>SUM('[1]2013 Employment'!AM13)-'[1]2013 Employment'!O13 +P13</f>
        <v>250.29777777777778</v>
      </c>
      <c r="R13" s="16">
        <f>SUM('[1]2013 Employment'!BK13-'[1]2013 Employment'!AM13) + Q13</f>
        <v>264.50777777777779</v>
      </c>
      <c r="S13" s="16">
        <f>SUM('[1]2013 Employment'!CI13-'[1]2013 Employment'!BK13) +R13</f>
        <v>289.57777777777778</v>
      </c>
      <c r="T13" s="45">
        <f t="shared" si="15"/>
        <v>35.593756247597099</v>
      </c>
      <c r="U13" s="17">
        <v>179</v>
      </c>
      <c r="W13" s="13">
        <v>2</v>
      </c>
      <c r="X13" s="13">
        <v>1.9946394120443949</v>
      </c>
      <c r="Y13" s="13">
        <v>2.0619196485435283</v>
      </c>
      <c r="Z13" s="13">
        <v>2.068272688628388</v>
      </c>
    </row>
    <row r="14" spans="1:26">
      <c r="A14" s="14" t="s">
        <v>21</v>
      </c>
      <c r="B14" s="15" t="s">
        <v>8</v>
      </c>
      <c r="C14" s="16">
        <v>381</v>
      </c>
      <c r="D14" s="16">
        <v>424.2</v>
      </c>
      <c r="E14" s="16">
        <v>437.6</v>
      </c>
      <c r="F14" s="16">
        <v>451</v>
      </c>
      <c r="G14" s="16">
        <f>SUM(((I14-F14)/I14) *D14) +D14 +8</f>
        <v>381.9504248153678</v>
      </c>
      <c r="H14" s="16">
        <f t="shared" si="11"/>
        <v>392.59221240768392</v>
      </c>
      <c r="I14" s="16">
        <f>SUM(F14*0.934)-18</f>
        <v>403.23400000000004</v>
      </c>
      <c r="J14" s="45">
        <f>SUM(I14-C14)</f>
        <v>22.234000000000037</v>
      </c>
      <c r="K14" s="16">
        <f t="shared" si="12"/>
        <v>1039.1751824817518</v>
      </c>
      <c r="L14" s="16">
        <f t="shared" si="13"/>
        <v>1034.8087873889858</v>
      </c>
      <c r="M14" s="16">
        <f t="shared" si="13"/>
        <v>1059.8569520172941</v>
      </c>
      <c r="N14" s="16">
        <f t="shared" si="13"/>
        <v>1083.2299205702004</v>
      </c>
      <c r="O14" s="45">
        <f t="shared" si="14"/>
        <v>44.05473808844863</v>
      </c>
      <c r="P14" s="16">
        <v>384.11989858012168</v>
      </c>
      <c r="Q14" s="16">
        <f>SUM('[1]2013 Employment'!AM14)-'[1]2013 Employment'!O14 +P14</f>
        <v>429.92999999999995</v>
      </c>
      <c r="R14" s="16">
        <f>SUM('[1]2013 Employment'!BK14-'[1]2013 Employment'!AM14) + Q14</f>
        <v>447.83</v>
      </c>
      <c r="S14" s="16">
        <f>SUM('[1]2013 Employment'!CI14-'[1]2013 Employment'!BK14) +R14</f>
        <v>483.76499999999993</v>
      </c>
      <c r="T14" s="45">
        <f t="shared" si="15"/>
        <v>99.645101419878245</v>
      </c>
      <c r="U14" s="17"/>
      <c r="W14" s="13">
        <v>2.7274939172749391</v>
      </c>
      <c r="X14" s="13">
        <v>2.7092751314236798</v>
      </c>
      <c r="Y14" s="13">
        <v>2.6996382468144708</v>
      </c>
      <c r="Z14" s="13">
        <v>2.6863556162679743</v>
      </c>
    </row>
    <row r="15" spans="1:26">
      <c r="A15" s="14" t="s">
        <v>22</v>
      </c>
      <c r="B15" s="15" t="s">
        <v>8</v>
      </c>
      <c r="C15" s="16">
        <v>635</v>
      </c>
      <c r="D15" s="16">
        <v>671.96</v>
      </c>
      <c r="E15" s="16">
        <v>709.48</v>
      </c>
      <c r="F15" s="16">
        <v>747</v>
      </c>
      <c r="G15" s="16">
        <f>SUM(((I15-F15)/I15) *D15) +D15 +19</f>
        <v>643.47674518201302</v>
      </c>
      <c r="H15" s="16">
        <f t="shared" si="11"/>
        <v>670.58737259100656</v>
      </c>
      <c r="I15" s="16">
        <f>SUM(F15*0.934)</f>
        <v>697.69800000000009</v>
      </c>
      <c r="J15" s="45">
        <f>SUM(I15-C15)</f>
        <v>62.698000000000093</v>
      </c>
      <c r="K15" s="16">
        <f t="shared" si="12"/>
        <v>1588</v>
      </c>
      <c r="L15" s="16">
        <f t="shared" si="13"/>
        <v>1598.2136023966725</v>
      </c>
      <c r="M15" s="16">
        <f t="shared" si="13"/>
        <v>1664.3064166344059</v>
      </c>
      <c r="N15" s="16">
        <f t="shared" si="13"/>
        <v>1725.3407560562846</v>
      </c>
      <c r="O15" s="45">
        <f t="shared" si="14"/>
        <v>137.34075605628459</v>
      </c>
      <c r="P15" s="16">
        <v>415.65274618134498</v>
      </c>
      <c r="Q15" s="16">
        <v>525.91499999999996</v>
      </c>
      <c r="R15" s="16">
        <v>545.61500000000001</v>
      </c>
      <c r="S15" s="16">
        <v>577.15</v>
      </c>
      <c r="T15" s="45">
        <f t="shared" si="15"/>
        <v>161.497253818655</v>
      </c>
      <c r="U15" s="17">
        <v>75</v>
      </c>
      <c r="W15" s="13">
        <v>2.5007874015748031</v>
      </c>
      <c r="X15" s="13">
        <v>2.4837161783439492</v>
      </c>
      <c r="Y15" s="13">
        <v>2.4818636387438686</v>
      </c>
      <c r="Z15" s="13">
        <v>2.472904832830658</v>
      </c>
    </row>
    <row r="16" spans="1:26" ht="13.5" thickBot="1">
      <c r="A16" s="1"/>
      <c r="B16" s="2" t="s">
        <v>10</v>
      </c>
      <c r="C16" s="10">
        <f t="shared" ref="C16:I16" si="16">SUM(C11:C15)</f>
        <v>2009</v>
      </c>
      <c r="D16" s="10">
        <f t="shared" si="16"/>
        <v>2240.96</v>
      </c>
      <c r="E16" s="10">
        <f t="shared" si="16"/>
        <v>2445.98</v>
      </c>
      <c r="F16" s="10">
        <f t="shared" si="16"/>
        <v>2651</v>
      </c>
      <c r="G16" s="10">
        <f t="shared" si="16"/>
        <v>2112.7267628665181</v>
      </c>
      <c r="H16" s="10">
        <f t="shared" si="16"/>
        <v>2297.8213814332594</v>
      </c>
      <c r="I16" s="10">
        <f t="shared" si="16"/>
        <v>2482.9160000000002</v>
      </c>
      <c r="J16" s="10">
        <f>SUM(J11:J15)</f>
        <v>473.91600000000011</v>
      </c>
      <c r="K16" s="3">
        <f>SUM(K11:K15)</f>
        <v>5155.175182481752</v>
      </c>
      <c r="L16" s="3">
        <f t="shared" ref="L16:T16" si="17">SUM(L11:L15)</f>
        <v>5345.1004254700265</v>
      </c>
      <c r="M16" s="3">
        <f t="shared" si="17"/>
        <v>5785.9349483238038</v>
      </c>
      <c r="N16" s="3">
        <f t="shared" si="17"/>
        <v>6199.5640350284239</v>
      </c>
      <c r="O16" s="3">
        <f t="shared" si="17"/>
        <v>1044.3888525466723</v>
      </c>
      <c r="P16" s="3">
        <f t="shared" si="17"/>
        <v>1537.7954251142949</v>
      </c>
      <c r="Q16" s="3">
        <f t="shared" si="17"/>
        <v>1778.7685816993462</v>
      </c>
      <c r="R16" s="3">
        <f t="shared" si="17"/>
        <v>1851.2685816993464</v>
      </c>
      <c r="S16" s="3">
        <f t="shared" si="17"/>
        <v>1978.2585816993465</v>
      </c>
      <c r="T16" s="10">
        <f t="shared" si="17"/>
        <v>440.46315658505165</v>
      </c>
      <c r="U16" s="3"/>
      <c r="W16" s="13">
        <v>2.5684158901422265</v>
      </c>
      <c r="X16" s="13">
        <v>2.5294840721472935</v>
      </c>
      <c r="Y16" s="13">
        <v>2.5176522956895249</v>
      </c>
      <c r="Z16" s="13">
        <v>2.4966990975218351</v>
      </c>
    </row>
    <row r="17" spans="1:29" s="22" customFormat="1" ht="14.25" thickTop="1" thickBot="1">
      <c r="A17" s="18"/>
      <c r="B17" s="19"/>
      <c r="C17" s="21"/>
      <c r="D17" s="21"/>
      <c r="E17" s="21"/>
      <c r="F17" s="21">
        <v>2507.8696500000001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0"/>
      <c r="W17" s="13"/>
      <c r="X17" s="13"/>
      <c r="Y17" s="13"/>
      <c r="Z17" s="13"/>
    </row>
    <row r="18" spans="1:29" ht="36" customHeight="1" thickTop="1">
      <c r="A18" s="5" t="s">
        <v>0</v>
      </c>
      <c r="B18" s="4" t="s">
        <v>11</v>
      </c>
      <c r="C18" s="4" t="s">
        <v>134</v>
      </c>
      <c r="D18" s="4" t="s">
        <v>103</v>
      </c>
      <c r="E18" s="4" t="s">
        <v>104</v>
      </c>
      <c r="F18" s="4" t="s">
        <v>105</v>
      </c>
      <c r="G18" s="4" t="s">
        <v>137</v>
      </c>
      <c r="H18" s="4" t="s">
        <v>136</v>
      </c>
      <c r="I18" s="4" t="s">
        <v>135</v>
      </c>
      <c r="J18" s="12" t="s">
        <v>102</v>
      </c>
      <c r="K18" s="4" t="s">
        <v>130</v>
      </c>
      <c r="L18" s="4" t="s">
        <v>131</v>
      </c>
      <c r="M18" s="4" t="s">
        <v>132</v>
      </c>
      <c r="N18" s="4" t="s">
        <v>133</v>
      </c>
      <c r="O18" s="12" t="s">
        <v>138</v>
      </c>
      <c r="P18" s="4" t="s">
        <v>127</v>
      </c>
      <c r="Q18" s="4" t="s">
        <v>126</v>
      </c>
      <c r="R18" s="4" t="s">
        <v>128</v>
      </c>
      <c r="S18" s="4" t="s">
        <v>129</v>
      </c>
      <c r="T18" s="12" t="s">
        <v>139</v>
      </c>
      <c r="U18" s="4" t="s">
        <v>101</v>
      </c>
    </row>
    <row r="19" spans="1:29">
      <c r="A19" s="23" t="s">
        <v>23</v>
      </c>
      <c r="B19" s="24" t="s">
        <v>1</v>
      </c>
      <c r="C19" s="16">
        <v>1048</v>
      </c>
      <c r="D19" s="16">
        <v>1098.3981236256204</v>
      </c>
      <c r="E19" s="16">
        <v>1129.2568248819321</v>
      </c>
      <c r="F19" s="16">
        <v>1160.1155261382439</v>
      </c>
      <c r="G19" s="16">
        <f>SUM(((I19-F19)/I19) *D19) +D19 +60</f>
        <v>1098.9055016572474</v>
      </c>
      <c r="H19" s="16">
        <f t="shared" ref="H19:H47" si="18">SUM(I19-G19)/2 +G19</f>
        <v>1099.7070481135984</v>
      </c>
      <c r="I19" s="16">
        <f>SUM(F19*0.94) +10</f>
        <v>1100.5085945699493</v>
      </c>
      <c r="J19" s="45">
        <f t="shared" ref="J19:J47" si="19">SUM(I19-C19)</f>
        <v>52.50859456994931</v>
      </c>
      <c r="K19" s="16">
        <v>2016</v>
      </c>
      <c r="L19" s="16">
        <v>1896.3987544656993</v>
      </c>
      <c r="M19" s="16">
        <v>1974.4367078693986</v>
      </c>
      <c r="N19" s="16">
        <v>2073.8039907267853</v>
      </c>
      <c r="O19" s="45">
        <f t="shared" ref="O19:O47" si="20">SUM(N19-K19)</f>
        <v>57.803990726785287</v>
      </c>
      <c r="P19" s="16">
        <v>5359.4763553351504</v>
      </c>
      <c r="Q19" s="16">
        <v>5300.5765074557339</v>
      </c>
      <c r="R19" s="16">
        <v>5558.978507455734</v>
      </c>
      <c r="S19" s="16">
        <v>5892.0765074557339</v>
      </c>
      <c r="T19" s="45">
        <f t="shared" ref="T19:T47" si="21">SUM(S19-P19)</f>
        <v>532.60015212058352</v>
      </c>
      <c r="U19" s="17"/>
      <c r="W19" s="13">
        <v>2.351123595505618</v>
      </c>
      <c r="X19" s="13">
        <v>2.325612739678685</v>
      </c>
      <c r="Y19" s="13">
        <v>2.3309808732509074</v>
      </c>
      <c r="Z19" s="13">
        <v>2.3556017838995698</v>
      </c>
      <c r="AB19" s="13">
        <f>SUM(X19*0.99)</f>
        <v>2.3023566122818981</v>
      </c>
      <c r="AC19" s="13">
        <f>SUM(Y19)*0.991</f>
        <v>2.3100020453916494</v>
      </c>
    </row>
    <row r="20" spans="1:29">
      <c r="A20" s="25">
        <v>410</v>
      </c>
      <c r="B20" s="24" t="s">
        <v>1</v>
      </c>
      <c r="C20" s="16">
        <v>3</v>
      </c>
      <c r="D20" s="16">
        <v>3</v>
      </c>
      <c r="E20" s="16">
        <v>3</v>
      </c>
      <c r="F20" s="16">
        <v>3</v>
      </c>
      <c r="G20" s="16">
        <f t="shared" ref="G20:G47" si="22">SUM(((I20-F20)/I20) *D20) +D20</f>
        <v>2.7880085653104927</v>
      </c>
      <c r="H20" s="16">
        <f t="shared" si="18"/>
        <v>2.7950042826552464</v>
      </c>
      <c r="I20" s="16">
        <f>SUM(F20*0.934)</f>
        <v>2.802</v>
      </c>
      <c r="J20" s="45">
        <f t="shared" si="19"/>
        <v>-0.19799999999999995</v>
      </c>
      <c r="K20" s="16">
        <v>7</v>
      </c>
      <c r="L20" s="16">
        <f t="shared" ref="L20:N20" si="23">SUM(G20*X20)</f>
        <v>7.4616391518987122</v>
      </c>
      <c r="M20" s="16">
        <f t="shared" si="23"/>
        <v>7.4214095562486007</v>
      </c>
      <c r="N20" s="16">
        <f t="shared" si="23"/>
        <v>7.4331020517565776</v>
      </c>
      <c r="O20" s="45">
        <f t="shared" si="20"/>
        <v>0.43310205175657757</v>
      </c>
      <c r="P20" s="16">
        <v>1200.1724491481298</v>
      </c>
      <c r="Q20" s="16">
        <f>SUM('[1]2013 Employment'!AM20)-'[1]2013 Employment'!O20 +P20</f>
        <v>1385.6818545697131</v>
      </c>
      <c r="R20" s="16">
        <f>SUM('[1]2013 Employment'!BK20-'[1]2013 Employment'!AM20) + Q20</f>
        <v>1479.3338545697131</v>
      </c>
      <c r="S20" s="16">
        <f>SUM('[1]2013 Employment'!CI20-'[1]2013 Employment'!BK20) +R20</f>
        <v>1580.031854569713</v>
      </c>
      <c r="T20" s="45">
        <f t="shared" si="21"/>
        <v>379.85940542158323</v>
      </c>
      <c r="U20" s="17"/>
      <c r="W20" s="13">
        <v>2.7541229385307346</v>
      </c>
      <c r="X20" s="13">
        <v>2.6763329369713507</v>
      </c>
      <c r="Y20" s="13">
        <v>2.6552408532262719</v>
      </c>
      <c r="Z20" s="13">
        <v>2.6527844581572366</v>
      </c>
      <c r="AB20" s="13">
        <f t="shared" ref="AB20:AB48" si="24">SUM(X20*0.99)</f>
        <v>2.6495696076016371</v>
      </c>
      <c r="AC20" s="13">
        <f t="shared" ref="AC20:AC48" si="25">SUM(Y20)*0.991</f>
        <v>2.6313436855472356</v>
      </c>
    </row>
    <row r="21" spans="1:29">
      <c r="A21" s="23" t="s">
        <v>24</v>
      </c>
      <c r="B21" s="24" t="s">
        <v>1</v>
      </c>
      <c r="C21" s="16">
        <v>234</v>
      </c>
      <c r="D21" s="16">
        <v>260.60000000000002</v>
      </c>
      <c r="E21" s="16">
        <v>267.3</v>
      </c>
      <c r="F21" s="16">
        <v>274</v>
      </c>
      <c r="G21" s="16">
        <f t="shared" si="22"/>
        <v>242.18501070663817</v>
      </c>
      <c r="H21" s="16">
        <f t="shared" si="18"/>
        <v>249.0505053533191</v>
      </c>
      <c r="I21" s="16">
        <f>SUM(F21*0.934)</f>
        <v>255.91600000000003</v>
      </c>
      <c r="J21" s="45">
        <f t="shared" si="19"/>
        <v>21.916000000000025</v>
      </c>
      <c r="K21" s="16">
        <v>545</v>
      </c>
      <c r="L21" s="16">
        <v>505.82190401250546</v>
      </c>
      <c r="M21" s="16">
        <v>523.17154056778043</v>
      </c>
      <c r="N21" s="16">
        <v>546.21452052786879</v>
      </c>
      <c r="O21" s="45">
        <f t="shared" si="20"/>
        <v>1.2145205278687854</v>
      </c>
      <c r="P21" s="16">
        <v>1528.1568931281624</v>
      </c>
      <c r="Q21" s="16">
        <f>SUM('[1]2013 Employment'!AM21)-'[1]2013 Employment'!O21 +P21</f>
        <v>1706.1387722980064</v>
      </c>
      <c r="R21" s="16">
        <f>SUM('[1]2013 Employment'!BK21-'[1]2013 Employment'!AM21) + Q21</f>
        <v>1843.8707722980064</v>
      </c>
      <c r="S21" s="16">
        <f>SUM('[1]2013 Employment'!CI21-'[1]2013 Employment'!BK21) +R21</f>
        <v>1943.3887722980064</v>
      </c>
      <c r="T21" s="45">
        <f t="shared" si="21"/>
        <v>415.23187916984398</v>
      </c>
      <c r="U21" s="17"/>
      <c r="W21" s="13">
        <v>2.6102362204724407</v>
      </c>
      <c r="X21" s="13">
        <v>2.5758072400613967</v>
      </c>
      <c r="Y21" s="13">
        <v>2.5744639211158122</v>
      </c>
      <c r="Z21" s="13">
        <v>2.5954395994305504</v>
      </c>
      <c r="AB21" s="13">
        <f t="shared" si="24"/>
        <v>2.5500491676607826</v>
      </c>
      <c r="AC21" s="13">
        <f t="shared" si="25"/>
        <v>2.5512937458257698</v>
      </c>
    </row>
    <row r="22" spans="1:29">
      <c r="A22" s="23" t="s">
        <v>25</v>
      </c>
      <c r="B22" s="24" t="s">
        <v>1</v>
      </c>
      <c r="C22" s="16">
        <v>556</v>
      </c>
      <c r="D22" s="16">
        <v>487.9</v>
      </c>
      <c r="E22" s="16">
        <v>497.95</v>
      </c>
      <c r="F22" s="16">
        <v>508</v>
      </c>
      <c r="G22" s="16">
        <f t="shared" si="22"/>
        <v>544.75095652173911</v>
      </c>
      <c r="H22" s="16">
        <f t="shared" si="18"/>
        <v>559.87547826086961</v>
      </c>
      <c r="I22" s="16">
        <v>575</v>
      </c>
      <c r="J22" s="45">
        <f t="shared" si="19"/>
        <v>19</v>
      </c>
      <c r="K22" s="16">
        <v>1401</v>
      </c>
      <c r="L22" s="16">
        <v>1356.713574362474</v>
      </c>
      <c r="M22" s="16">
        <v>1382.0663682894804</v>
      </c>
      <c r="N22" s="16">
        <v>1422.3689051049773</v>
      </c>
      <c r="O22" s="45">
        <f t="shared" si="20"/>
        <v>21.36890510497733</v>
      </c>
      <c r="P22" s="16">
        <v>379.15302773061694</v>
      </c>
      <c r="Q22" s="16">
        <f>SUM('[1]2013 Employment'!AM22)-'[1]2013 Employment'!O22 +P22</f>
        <v>441.35</v>
      </c>
      <c r="R22" s="16">
        <f>SUM('[1]2013 Employment'!BK22-'[1]2013 Employment'!AM22) + Q22</f>
        <v>511.06</v>
      </c>
      <c r="S22" s="16">
        <f>SUM('[1]2013 Employment'!CI22-'[1]2013 Employment'!BK22) +R22</f>
        <v>536.25</v>
      </c>
      <c r="T22" s="45">
        <f t="shared" si="21"/>
        <v>157.09697226938306</v>
      </c>
      <c r="U22" s="17"/>
      <c r="W22" s="13">
        <v>3.3953974895397487</v>
      </c>
      <c r="X22" s="13">
        <v>3.3389998978069273</v>
      </c>
      <c r="Y22" s="13">
        <v>3.3225262891281946</v>
      </c>
      <c r="Z22" s="13">
        <v>3.3370584160747168</v>
      </c>
      <c r="AB22" s="13">
        <f t="shared" si="24"/>
        <v>3.305609898828858</v>
      </c>
      <c r="AC22" s="13">
        <f t="shared" si="25"/>
        <v>3.2926235525260408</v>
      </c>
    </row>
    <row r="23" spans="1:29">
      <c r="A23" s="23" t="s">
        <v>26</v>
      </c>
      <c r="B23" s="24" t="s">
        <v>1</v>
      </c>
      <c r="C23" s="16">
        <v>565</v>
      </c>
      <c r="D23" s="16">
        <v>1092.3400000000001</v>
      </c>
      <c r="E23" s="16">
        <v>1827.67</v>
      </c>
      <c r="F23" s="16">
        <v>2163</v>
      </c>
      <c r="G23" s="16">
        <f>SUM(((I23-F23)/I23) *D23) +D23 -30</f>
        <v>1096.6868690052929</v>
      </c>
      <c r="H23" s="16">
        <f>SUM(I23-G23)/2 +G23 +150</f>
        <v>1814.9534345026464</v>
      </c>
      <c r="I23" s="16">
        <f>SUM(F23*0.94)+200</f>
        <v>2233.2199999999998</v>
      </c>
      <c r="J23" s="45">
        <f t="shared" si="19"/>
        <v>1668.2199999999998</v>
      </c>
      <c r="K23" s="16">
        <v>1553</v>
      </c>
      <c r="L23" s="16">
        <f>SUM(G23*X23) -150</f>
        <v>2600.8045240708348</v>
      </c>
      <c r="M23" s="16">
        <f>SUM(H23*Y23) -175</f>
        <v>4347.6236547419358</v>
      </c>
      <c r="N23" s="16">
        <f t="shared" ref="N23:N47" si="26">SUM(I23*Z23)</f>
        <v>5561.3450632302038</v>
      </c>
      <c r="O23" s="45">
        <f t="shared" si="20"/>
        <v>4008.3450632302038</v>
      </c>
      <c r="P23" s="16">
        <v>934.90669822955215</v>
      </c>
      <c r="Q23" s="16">
        <f>SUM('[1]2013 Employment'!AM23)-'[1]2013 Employment'!O23 +P23</f>
        <v>1590.8279582366592</v>
      </c>
      <c r="R23" s="16">
        <f>SUM('[1]2013 Employment'!BK23-'[1]2013 Employment'!AM23) + Q23</f>
        <v>1690.6239582366591</v>
      </c>
      <c r="S23" s="16">
        <f>SUM('[1]2013 Employment'!CI23-'[1]2013 Employment'!BK23) +R23</f>
        <v>1786.4779582366591</v>
      </c>
      <c r="T23" s="45">
        <f t="shared" si="21"/>
        <v>851.57126000710696</v>
      </c>
      <c r="U23" s="17">
        <v>2000</v>
      </c>
      <c r="W23" s="13">
        <v>2.7486725663716816</v>
      </c>
      <c r="X23" s="13">
        <v>2.5082861861616386</v>
      </c>
      <c r="Y23" s="13">
        <v>2.4918675976837252</v>
      </c>
      <c r="Z23" s="13">
        <v>2.4902808783864572</v>
      </c>
      <c r="AB23" s="13">
        <f t="shared" si="24"/>
        <v>2.483203324300022</v>
      </c>
      <c r="AC23" s="13">
        <f t="shared" si="25"/>
        <v>2.4694407893045716</v>
      </c>
    </row>
    <row r="24" spans="1:29">
      <c r="A24" s="23" t="s">
        <v>27</v>
      </c>
      <c r="B24" s="24" t="s">
        <v>1</v>
      </c>
      <c r="C24" s="16">
        <v>752</v>
      </c>
      <c r="D24" s="16">
        <v>930.53</v>
      </c>
      <c r="E24" s="16">
        <v>1111.7649999999999</v>
      </c>
      <c r="F24" s="16">
        <v>1293</v>
      </c>
      <c r="G24" s="16">
        <f t="shared" si="22"/>
        <v>879.71724073243331</v>
      </c>
      <c r="H24" s="16">
        <f t="shared" si="18"/>
        <v>1052.8836203662167</v>
      </c>
      <c r="I24" s="16">
        <f>SUM(F24*0.85) +127</f>
        <v>1226.05</v>
      </c>
      <c r="J24" s="45">
        <f t="shared" si="19"/>
        <v>474.04999999999995</v>
      </c>
      <c r="K24" s="16">
        <v>2047</v>
      </c>
      <c r="L24" s="16">
        <f t="shared" ref="L24:M47" si="27">SUM(G24*X24)</f>
        <v>2295.1723775285109</v>
      </c>
      <c r="M24" s="16">
        <f t="shared" si="27"/>
        <v>2730.3882404889323</v>
      </c>
      <c r="N24" s="16">
        <f t="shared" si="26"/>
        <v>3171.6308560567677</v>
      </c>
      <c r="O24" s="45">
        <f t="shared" si="20"/>
        <v>1124.6308560567677</v>
      </c>
      <c r="P24" s="16">
        <v>292.34985163204743</v>
      </c>
      <c r="Q24" s="16">
        <f>SUM('[1]2013 Employment'!AM24)-'[1]2013 Employment'!O24 +P24</f>
        <v>414.05</v>
      </c>
      <c r="R24" s="16">
        <f>SUM('[1]2013 Employment'!BK24-'[1]2013 Employment'!AM24) + Q24</f>
        <v>548.22800000000007</v>
      </c>
      <c r="S24" s="16">
        <f>SUM('[1]2013 Employment'!CI24-'[1]2013 Employment'!BK24) +R24</f>
        <v>643.5</v>
      </c>
      <c r="T24" s="45">
        <f t="shared" si="21"/>
        <v>351.15014836795257</v>
      </c>
      <c r="U24" s="17">
        <v>500</v>
      </c>
      <c r="W24" s="13">
        <v>2.7220744680851063</v>
      </c>
      <c r="X24" s="13">
        <v>2.6089887423572606</v>
      </c>
      <c r="Y24" s="13">
        <v>2.5932479028776623</v>
      </c>
      <c r="Z24" s="13">
        <v>2.5868690967389321</v>
      </c>
      <c r="AB24" s="13">
        <f t="shared" si="24"/>
        <v>2.582898854933688</v>
      </c>
      <c r="AC24" s="13">
        <f t="shared" si="25"/>
        <v>2.5699086717517634</v>
      </c>
    </row>
    <row r="25" spans="1:29">
      <c r="A25" s="23" t="s">
        <v>28</v>
      </c>
      <c r="B25" s="24" t="s">
        <v>1</v>
      </c>
      <c r="C25" s="16">
        <v>121</v>
      </c>
      <c r="D25" s="16">
        <v>129.25</v>
      </c>
      <c r="E25" s="16">
        <v>137.625</v>
      </c>
      <c r="F25" s="16">
        <v>146</v>
      </c>
      <c r="G25" s="16">
        <f t="shared" si="22"/>
        <v>120.99999999999999</v>
      </c>
      <c r="H25" s="16">
        <f t="shared" si="18"/>
        <v>129.11999999999998</v>
      </c>
      <c r="I25" s="16">
        <f>SUM(F25*0.94)</f>
        <v>137.23999999999998</v>
      </c>
      <c r="J25" s="45">
        <f t="shared" si="19"/>
        <v>16.239999999999981</v>
      </c>
      <c r="K25" s="16">
        <v>318</v>
      </c>
      <c r="L25" s="16">
        <f t="shared" si="27"/>
        <v>312.14415259148933</v>
      </c>
      <c r="M25" s="16">
        <f t="shared" si="27"/>
        <v>332.63531868832695</v>
      </c>
      <c r="N25" s="16">
        <f t="shared" si="26"/>
        <v>355.49677903666566</v>
      </c>
      <c r="O25" s="45">
        <f t="shared" si="20"/>
        <v>37.496779036665657</v>
      </c>
      <c r="P25" s="16">
        <v>248.34757785467127</v>
      </c>
      <c r="Q25" s="16">
        <f>SUM('[1]2013 Employment'!AM25)-'[1]2013 Employment'!O25 +P25</f>
        <v>250.25</v>
      </c>
      <c r="R25" s="16">
        <f>SUM('[1]2013 Employment'!BK25-'[1]2013 Employment'!AM25) + Q25</f>
        <v>278.76</v>
      </c>
      <c r="S25" s="16">
        <f>SUM('[1]2013 Employment'!CI25-'[1]2013 Employment'!BK25) +R25</f>
        <v>292.5</v>
      </c>
      <c r="T25" s="45">
        <f t="shared" si="21"/>
        <v>44.152422145328728</v>
      </c>
      <c r="U25" s="17"/>
      <c r="W25" s="13">
        <v>2.6280991735537191</v>
      </c>
      <c r="X25" s="13">
        <v>2.5797037404255319</v>
      </c>
      <c r="Y25" s="13">
        <v>2.5761719229269442</v>
      </c>
      <c r="Z25" s="13">
        <v>2.5903291972942708</v>
      </c>
      <c r="AB25" s="13">
        <f t="shared" si="24"/>
        <v>2.5539067030212763</v>
      </c>
      <c r="AC25" s="13">
        <f t="shared" si="25"/>
        <v>2.5529863756206015</v>
      </c>
    </row>
    <row r="26" spans="1:29">
      <c r="A26" s="23" t="s">
        <v>29</v>
      </c>
      <c r="B26" s="24" t="s">
        <v>1</v>
      </c>
      <c r="C26" s="16">
        <v>52</v>
      </c>
      <c r="D26" s="16">
        <v>59.276690601198752</v>
      </c>
      <c r="E26" s="16">
        <v>66.663634090294465</v>
      </c>
      <c r="F26" s="16">
        <v>74.050577579390165</v>
      </c>
      <c r="G26" s="16">
        <f t="shared" si="22"/>
        <v>55.493072052186065</v>
      </c>
      <c r="H26" s="16">
        <f t="shared" si="18"/>
        <v>62.550307488406411</v>
      </c>
      <c r="I26" s="16">
        <f>SUM(F26*0.94)</f>
        <v>69.607542924626756</v>
      </c>
      <c r="J26" s="45">
        <f t="shared" si="19"/>
        <v>17.607542924626756</v>
      </c>
      <c r="K26" s="16">
        <v>159</v>
      </c>
      <c r="L26" s="16">
        <f t="shared" si="27"/>
        <v>162.72655438267921</v>
      </c>
      <c r="M26" s="16">
        <f t="shared" si="27"/>
        <v>180.5733038224283</v>
      </c>
      <c r="N26" s="16">
        <f t="shared" si="26"/>
        <v>199.36202621360053</v>
      </c>
      <c r="O26" s="45">
        <f t="shared" si="20"/>
        <v>40.362026213600529</v>
      </c>
      <c r="P26" s="16">
        <v>1252.3693257870837</v>
      </c>
      <c r="Q26" s="16">
        <f>SUM('[1]2013 Employment'!AM26)-'[1]2013 Employment'!O26 +P26</f>
        <v>1439.7553763440858</v>
      </c>
      <c r="R26" s="16">
        <f>SUM('[1]2013 Employment'!BK26-'[1]2013 Employment'!AM26) + Q26</f>
        <v>1511.8093763440859</v>
      </c>
      <c r="S26" s="16">
        <f>SUM('[1]2013 Employment'!CI26-'[1]2013 Employment'!BK26) +R26</f>
        <v>1586.0053763440858</v>
      </c>
      <c r="T26" s="45">
        <f t="shared" si="21"/>
        <v>333.63605055700214</v>
      </c>
      <c r="U26" s="17"/>
      <c r="W26" s="13">
        <v>3.0576923076923075</v>
      </c>
      <c r="X26" s="13">
        <v>2.9323760311854792</v>
      </c>
      <c r="Y26" s="13">
        <v>2.8868491790531525</v>
      </c>
      <c r="Z26" s="13">
        <v>2.8640865319650204</v>
      </c>
      <c r="AB26" s="13">
        <f t="shared" si="24"/>
        <v>2.9030522708736242</v>
      </c>
      <c r="AC26" s="13">
        <f t="shared" si="25"/>
        <v>2.860867536441674</v>
      </c>
    </row>
    <row r="27" spans="1:29">
      <c r="A27" s="23" t="s">
        <v>30</v>
      </c>
      <c r="B27" s="24" t="s">
        <v>1</v>
      </c>
      <c r="C27" s="16">
        <v>115</v>
      </c>
      <c r="D27" s="16">
        <v>119.95</v>
      </c>
      <c r="E27" s="16">
        <v>124.97499999999999</v>
      </c>
      <c r="F27" s="16">
        <v>130</v>
      </c>
      <c r="G27" s="16">
        <f t="shared" si="22"/>
        <v>112.29361702127659</v>
      </c>
      <c r="H27" s="16">
        <f t="shared" si="18"/>
        <v>117.24680851063829</v>
      </c>
      <c r="I27" s="16">
        <f>SUM(F27*0.94)</f>
        <v>122.19999999999999</v>
      </c>
      <c r="J27" s="45">
        <f t="shared" si="19"/>
        <v>7.1999999999999886</v>
      </c>
      <c r="K27" s="16">
        <v>321</v>
      </c>
      <c r="L27" s="16">
        <f t="shared" si="27"/>
        <v>307.95695964000004</v>
      </c>
      <c r="M27" s="16">
        <f t="shared" si="27"/>
        <v>320.50109893819899</v>
      </c>
      <c r="N27" s="16">
        <f t="shared" si="26"/>
        <v>335.68606742199944</v>
      </c>
      <c r="O27" s="45">
        <f t="shared" si="20"/>
        <v>14.686067421999439</v>
      </c>
      <c r="P27" s="16">
        <v>150.196</v>
      </c>
      <c r="Q27" s="16">
        <f>SUM('[1]2013 Employment'!AM27)-'[1]2013 Employment'!O27 +P27</f>
        <v>182</v>
      </c>
      <c r="R27" s="16">
        <f>SUM('[1]2013 Employment'!BK27-'[1]2013 Employment'!AM27) + Q27</f>
        <v>195.13200000000001</v>
      </c>
      <c r="S27" s="16">
        <f>SUM('[1]2013 Employment'!CI27-'[1]2013 Employment'!BK27) +R27</f>
        <v>204.75</v>
      </c>
      <c r="T27" s="45">
        <f t="shared" si="21"/>
        <v>54.554000000000002</v>
      </c>
      <c r="U27" s="17"/>
      <c r="W27" s="13">
        <v>2.7913043478260868</v>
      </c>
      <c r="X27" s="13">
        <v>2.742426219841601</v>
      </c>
      <c r="Y27" s="13">
        <v>2.7335592585372472</v>
      </c>
      <c r="Z27" s="13">
        <v>2.7470218283306012</v>
      </c>
      <c r="AB27" s="13">
        <f t="shared" si="24"/>
        <v>2.7150019576431847</v>
      </c>
      <c r="AC27" s="13">
        <f t="shared" si="25"/>
        <v>2.7089572252104119</v>
      </c>
    </row>
    <row r="28" spans="1:29">
      <c r="A28" s="23" t="s">
        <v>31</v>
      </c>
      <c r="B28" s="24" t="s">
        <v>1</v>
      </c>
      <c r="C28" s="16">
        <v>1320</v>
      </c>
      <c r="D28" s="16">
        <v>1526.12</v>
      </c>
      <c r="E28" s="16">
        <v>1790.06</v>
      </c>
      <c r="F28" s="16">
        <v>1904</v>
      </c>
      <c r="G28" s="16">
        <f t="shared" si="22"/>
        <v>1349.8911281296573</v>
      </c>
      <c r="H28" s="16">
        <f t="shared" si="18"/>
        <v>1528.3935640648288</v>
      </c>
      <c r="I28" s="16">
        <f>SUM(F28*0.949)-100</f>
        <v>1706.896</v>
      </c>
      <c r="J28" s="45">
        <f t="shared" si="19"/>
        <v>386.89599999999996</v>
      </c>
      <c r="K28" s="16">
        <v>4040</v>
      </c>
      <c r="L28" s="16">
        <f t="shared" si="27"/>
        <v>3909.0404213068928</v>
      </c>
      <c r="M28" s="16">
        <f t="shared" si="27"/>
        <v>4341.5855551431459</v>
      </c>
      <c r="N28" s="16">
        <f t="shared" si="26"/>
        <v>4849.2052524122882</v>
      </c>
      <c r="O28" s="45">
        <f t="shared" si="20"/>
        <v>809.20525241228825</v>
      </c>
      <c r="P28" s="16">
        <v>489.87224959646591</v>
      </c>
      <c r="Q28" s="16">
        <f>SUM('[1]2013 Employment'!AM28)-'[1]2013 Employment'!O28 +P28</f>
        <v>632.45000000000005</v>
      </c>
      <c r="R28" s="16">
        <f>SUM('[1]2013 Employment'!BK28-'[1]2013 Employment'!AM28) + Q28</f>
        <v>687.60800000000006</v>
      </c>
      <c r="S28" s="16">
        <f>SUM('[1]2013 Employment'!CI28-'[1]2013 Employment'!BK28) +R28</f>
        <v>741</v>
      </c>
      <c r="T28" s="45">
        <f t="shared" si="21"/>
        <v>251.12775040353409</v>
      </c>
      <c r="U28" s="17">
        <v>194</v>
      </c>
      <c r="W28" s="13">
        <v>3.0149253731343282</v>
      </c>
      <c r="X28" s="13">
        <v>2.8958190329934732</v>
      </c>
      <c r="Y28" s="13">
        <v>2.8406201499543817</v>
      </c>
      <c r="Z28" s="13">
        <v>2.8409494500029813</v>
      </c>
      <c r="AB28" s="13">
        <f t="shared" si="24"/>
        <v>2.8668608426635385</v>
      </c>
      <c r="AC28" s="13">
        <f t="shared" si="25"/>
        <v>2.8150545686047921</v>
      </c>
    </row>
    <row r="29" spans="1:29">
      <c r="A29" s="23" t="s">
        <v>32</v>
      </c>
      <c r="B29" s="24" t="s">
        <v>1</v>
      </c>
      <c r="C29" s="16">
        <v>648</v>
      </c>
      <c r="D29" s="16">
        <v>628.47974037635458</v>
      </c>
      <c r="E29" s="16">
        <v>639.11826469780544</v>
      </c>
      <c r="F29" s="16">
        <v>649.7567890192563</v>
      </c>
      <c r="G29" s="16">
        <f>SUM(((I29-F29)/I29) *D29) +D29 +20</f>
        <v>642.13146017053282</v>
      </c>
      <c r="H29" s="16">
        <f t="shared" si="18"/>
        <v>642.69534064979825</v>
      </c>
      <c r="I29" s="16">
        <f>SUM(F29*0.99)</f>
        <v>643.25922112906369</v>
      </c>
      <c r="J29" s="45">
        <f t="shared" si="19"/>
        <v>-4.7407788709363103</v>
      </c>
      <c r="K29" s="16">
        <v>1400</v>
      </c>
      <c r="L29" s="16">
        <f t="shared" si="27"/>
        <v>1440.2554137852901</v>
      </c>
      <c r="M29" s="16">
        <f t="shared" si="27"/>
        <v>1444.5111168193007</v>
      </c>
      <c r="N29" s="16">
        <f t="shared" si="26"/>
        <v>1461.6906326342087</v>
      </c>
      <c r="O29" s="45">
        <f t="shared" si="20"/>
        <v>61.690632634208669</v>
      </c>
      <c r="P29" s="16">
        <v>47.173770161290328</v>
      </c>
      <c r="Q29" s="16">
        <f>SUM('[1]2013 Employment'!AM29)-'[1]2013 Employment'!O29 +P29</f>
        <v>68.443125000000009</v>
      </c>
      <c r="R29" s="16">
        <f>SUM('[1]2013 Employment'!BK29-'[1]2013 Employment'!AM29) + Q29</f>
        <v>97.087125000000015</v>
      </c>
      <c r="S29" s="16">
        <f>SUM('[1]2013 Employment'!CI29-'[1]2013 Employment'!BK29) +R29</f>
        <v>134.41812500000003</v>
      </c>
      <c r="T29" s="45">
        <f t="shared" si="21"/>
        <v>87.244354838709711</v>
      </c>
      <c r="U29" s="17"/>
      <c r="W29" s="13">
        <v>2.2653721682847898</v>
      </c>
      <c r="X29" s="13">
        <v>2.2429292179560818</v>
      </c>
      <c r="Y29" s="13">
        <v>2.2475829922134261</v>
      </c>
      <c r="Z29" s="13">
        <v>2.2723197501446073</v>
      </c>
      <c r="AB29" s="13">
        <f t="shared" si="24"/>
        <v>2.220499925776521</v>
      </c>
      <c r="AC29" s="13">
        <f t="shared" si="25"/>
        <v>2.2273547452835052</v>
      </c>
    </row>
    <row r="30" spans="1:29">
      <c r="A30" s="23" t="s">
        <v>33</v>
      </c>
      <c r="B30" s="24" t="s">
        <v>1</v>
      </c>
      <c r="C30" s="16">
        <v>858</v>
      </c>
      <c r="D30" s="16">
        <v>1015.9762500000001</v>
      </c>
      <c r="E30" s="16">
        <v>1206.8006250000001</v>
      </c>
      <c r="F30" s="16">
        <v>1397.625</v>
      </c>
      <c r="G30" s="16">
        <f>SUM(((I30-F30)/I30) *D30) +D30 +30</f>
        <v>981.12670212765954</v>
      </c>
      <c r="H30" s="16">
        <f>SUM(I30-G30)/2 +G30 +50</f>
        <v>1197.4471010638297</v>
      </c>
      <c r="I30" s="16">
        <f>SUM(F30*0.94)</f>
        <v>1313.7674999999999</v>
      </c>
      <c r="J30" s="45">
        <f t="shared" si="19"/>
        <v>455.76749999999993</v>
      </c>
      <c r="K30" s="16">
        <v>2303</v>
      </c>
      <c r="L30" s="16">
        <f t="shared" si="27"/>
        <v>2611.1751054709202</v>
      </c>
      <c r="M30" s="16">
        <f t="shared" si="27"/>
        <v>3160.3882090422612</v>
      </c>
      <c r="N30" s="16">
        <f t="shared" si="26"/>
        <v>3453.9219103504279</v>
      </c>
      <c r="O30" s="45">
        <f t="shared" si="20"/>
        <v>1150.9219103504279</v>
      </c>
      <c r="P30" s="16">
        <v>17.62037037037037</v>
      </c>
      <c r="Q30" s="16">
        <f>SUM('[1]2013 Employment'!AM30)-'[1]2013 Employment'!O30 +P30</f>
        <v>145.6</v>
      </c>
      <c r="R30" s="16">
        <f>SUM('[1]2013 Employment'!BK30-'[1]2013 Employment'!AM30) + Q30</f>
        <v>167.256</v>
      </c>
      <c r="S30" s="16">
        <f>SUM('[1]2013 Employment'!CI30-'[1]2013 Employment'!BK30) +R30</f>
        <v>195</v>
      </c>
      <c r="T30" s="45">
        <f t="shared" si="21"/>
        <v>177.37962962962962</v>
      </c>
      <c r="U30" s="17">
        <v>115</v>
      </c>
      <c r="W30" s="13">
        <v>2.781400966183575</v>
      </c>
      <c r="X30" s="13">
        <v>2.6614045870001881</v>
      </c>
      <c r="Y30" s="13">
        <v>2.6392716690654021</v>
      </c>
      <c r="Z30" s="13">
        <v>2.6290206679267283</v>
      </c>
      <c r="AB30" s="13">
        <f t="shared" si="24"/>
        <v>2.6347905411301862</v>
      </c>
      <c r="AC30" s="13">
        <f t="shared" si="25"/>
        <v>2.6155182240438135</v>
      </c>
    </row>
    <row r="31" spans="1:29">
      <c r="A31" s="23" t="s">
        <v>34</v>
      </c>
      <c r="B31" s="24" t="s">
        <v>1</v>
      </c>
      <c r="C31" s="16">
        <v>469</v>
      </c>
      <c r="D31" s="16">
        <v>475.09894272605493</v>
      </c>
      <c r="E31" s="16">
        <v>481.29029367523185</v>
      </c>
      <c r="F31" s="16">
        <v>487.48164462440883</v>
      </c>
      <c r="G31" s="16">
        <f t="shared" si="22"/>
        <v>491.45031064858222</v>
      </c>
      <c r="H31" s="16">
        <f t="shared" si="18"/>
        <v>498.15375296712938</v>
      </c>
      <c r="I31" s="16">
        <f>SUM(F31*0.97) +32</f>
        <v>504.85719528567654</v>
      </c>
      <c r="J31" s="45">
        <f t="shared" si="19"/>
        <v>35.857195285676539</v>
      </c>
      <c r="K31" s="16">
        <v>1111</v>
      </c>
      <c r="L31" s="16">
        <f t="shared" si="27"/>
        <v>1151.9733698753655</v>
      </c>
      <c r="M31" s="16">
        <f t="shared" si="27"/>
        <v>1168.8329403017351</v>
      </c>
      <c r="N31" s="16">
        <f t="shared" si="26"/>
        <v>1196.6808574811514</v>
      </c>
      <c r="O31" s="45">
        <f t="shared" si="20"/>
        <v>85.680857481151406</v>
      </c>
      <c r="P31" s="16">
        <v>429.72791254070574</v>
      </c>
      <c r="Q31" s="16">
        <f>SUM('[1]2013 Employment'!AM31)-'[1]2013 Employment'!O31 +P31</f>
        <v>664.30000000000007</v>
      </c>
      <c r="R31" s="16">
        <f>SUM('[1]2013 Employment'!BK31-'[1]2013 Employment'!AM31) + Q31</f>
        <v>724.77600000000007</v>
      </c>
      <c r="S31" s="16">
        <f>SUM('[1]2013 Employment'!CI31-'[1]2013 Employment'!BK31) +R31</f>
        <v>760.5</v>
      </c>
      <c r="T31" s="45">
        <f t="shared" si="21"/>
        <v>330.77208745929426</v>
      </c>
      <c r="U31" s="17">
        <v>10</v>
      </c>
      <c r="W31" s="13">
        <v>2.3688699360341152</v>
      </c>
      <c r="X31" s="13">
        <v>2.3440281650347732</v>
      </c>
      <c r="Y31" s="13">
        <v>2.3463296890565841</v>
      </c>
      <c r="Z31" s="13">
        <v>2.3703353515720464</v>
      </c>
      <c r="AB31" s="13">
        <f t="shared" si="24"/>
        <v>2.3205878833844253</v>
      </c>
      <c r="AC31" s="13">
        <f t="shared" si="25"/>
        <v>2.3252127218550749</v>
      </c>
    </row>
    <row r="32" spans="1:29">
      <c r="A32" s="23" t="s">
        <v>35</v>
      </c>
      <c r="B32" s="24" t="s">
        <v>1</v>
      </c>
      <c r="C32" s="16">
        <v>285</v>
      </c>
      <c r="D32" s="16">
        <v>297.76605000000001</v>
      </c>
      <c r="E32" s="16">
        <v>310.725525</v>
      </c>
      <c r="F32" s="16">
        <v>323.685</v>
      </c>
      <c r="G32" s="16">
        <f>SUM(((I32-F32)/I32) *D32) +D32 +6</f>
        <v>284.75970638297872</v>
      </c>
      <c r="H32" s="16">
        <f t="shared" si="18"/>
        <v>294.51180319148932</v>
      </c>
      <c r="I32" s="16">
        <f>SUM(F32*0.94)</f>
        <v>304.26389999999998</v>
      </c>
      <c r="J32" s="45">
        <f t="shared" si="19"/>
        <v>19.263899999999978</v>
      </c>
      <c r="K32" s="16">
        <v>738</v>
      </c>
      <c r="L32" s="16">
        <f t="shared" si="27"/>
        <v>726.24110111133655</v>
      </c>
      <c r="M32" s="16">
        <f t="shared" si="27"/>
        <v>750.76208876022838</v>
      </c>
      <c r="N32" s="16">
        <f t="shared" si="26"/>
        <v>781.26690788133646</v>
      </c>
      <c r="O32" s="45">
        <f t="shared" si="20"/>
        <v>43.266907881336465</v>
      </c>
      <c r="P32" s="16">
        <v>1578.2099966872299</v>
      </c>
      <c r="Q32" s="16">
        <v>2235.0912646793136</v>
      </c>
      <c r="R32" s="16">
        <v>2318.1472646793136</v>
      </c>
      <c r="S32" s="16">
        <v>2458.6912646793135</v>
      </c>
      <c r="T32" s="45">
        <f t="shared" si="21"/>
        <v>880.48126799208353</v>
      </c>
      <c r="U32" s="17"/>
      <c r="W32" s="13">
        <v>2.5894736842105264</v>
      </c>
      <c r="X32" s="13">
        <v>2.5503646928705606</v>
      </c>
      <c r="Y32" s="13">
        <v>2.5491748738915181</v>
      </c>
      <c r="Z32" s="13">
        <v>2.5677279094934908</v>
      </c>
      <c r="AB32" s="13">
        <f t="shared" si="24"/>
        <v>2.5248610459418548</v>
      </c>
      <c r="AC32" s="13">
        <f t="shared" si="25"/>
        <v>2.5262323000264946</v>
      </c>
    </row>
    <row r="33" spans="1:29">
      <c r="A33" s="23" t="s">
        <v>36</v>
      </c>
      <c r="B33" s="24" t="s">
        <v>1</v>
      </c>
      <c r="C33" s="16">
        <v>4</v>
      </c>
      <c r="D33" s="16">
        <v>3.9918730927193842</v>
      </c>
      <c r="E33" s="16">
        <v>3.983623050479971</v>
      </c>
      <c r="F33" s="16">
        <v>3.9753730082405578</v>
      </c>
      <c r="G33" s="16">
        <f t="shared" si="22"/>
        <v>3.737072682545806</v>
      </c>
      <c r="H33" s="16">
        <f t="shared" si="18"/>
        <v>3.736961655145965</v>
      </c>
      <c r="I33" s="16">
        <f>SUM(F33*0.94)</f>
        <v>3.736850627746124</v>
      </c>
      <c r="J33" s="45">
        <f t="shared" si="19"/>
        <v>-0.26314937225387602</v>
      </c>
      <c r="K33" s="16">
        <v>14</v>
      </c>
      <c r="L33" s="16">
        <f t="shared" si="27"/>
        <v>12.958160000638795</v>
      </c>
      <c r="M33" s="16">
        <f t="shared" si="27"/>
        <v>12.965215578602374</v>
      </c>
      <c r="N33" s="16">
        <f t="shared" si="26"/>
        <v>13.104267365155531</v>
      </c>
      <c r="O33" s="45">
        <f t="shared" si="20"/>
        <v>-0.89573263484446919</v>
      </c>
      <c r="P33" s="16">
        <v>104.60370370370364</v>
      </c>
      <c r="Q33" s="16">
        <f>SUM('[1]2013 Employment'!AM33)-'[1]2013 Employment'!O33 +P33</f>
        <v>114.59999999999994</v>
      </c>
      <c r="R33" s="16">
        <f>SUM('[1]2013 Employment'!BK33-'[1]2013 Employment'!AM33) + Q33</f>
        <v>125.04399999999993</v>
      </c>
      <c r="S33" s="16">
        <f>SUM('[1]2013 Employment'!CI33-'[1]2013 Employment'!BK33) +R33</f>
        <v>128.24999999999994</v>
      </c>
      <c r="T33" s="45">
        <f t="shared" si="21"/>
        <v>23.646296296296299</v>
      </c>
      <c r="U33" s="17"/>
      <c r="W33" s="13">
        <v>3.5</v>
      </c>
      <c r="X33" s="13">
        <v>3.4674626643363298</v>
      </c>
      <c r="Y33" s="13">
        <v>3.4694537367673246</v>
      </c>
      <c r="Z33" s="13">
        <v>3.506767776013394</v>
      </c>
      <c r="AB33" s="13">
        <f t="shared" si="24"/>
        <v>3.4327880376929665</v>
      </c>
      <c r="AC33" s="13">
        <f t="shared" si="25"/>
        <v>3.4382286531364188</v>
      </c>
    </row>
    <row r="34" spans="1:29">
      <c r="A34" s="23" t="s">
        <v>37</v>
      </c>
      <c r="B34" s="24" t="s">
        <v>1</v>
      </c>
      <c r="C34" s="16">
        <v>7</v>
      </c>
      <c r="D34" s="16">
        <v>6.9674923708775367</v>
      </c>
      <c r="E34" s="16">
        <v>6.934492201919884</v>
      </c>
      <c r="F34" s="16">
        <v>6.9014920329622313</v>
      </c>
      <c r="G34" s="16">
        <f t="shared" si="22"/>
        <v>7.0655428721355804</v>
      </c>
      <c r="H34" s="16">
        <f t="shared" si="18"/>
        <v>7.0327714360677902</v>
      </c>
      <c r="I34" s="16">
        <v>7</v>
      </c>
      <c r="J34" s="45">
        <f t="shared" si="19"/>
        <v>0</v>
      </c>
      <c r="K34" s="16">
        <v>25</v>
      </c>
      <c r="L34" s="16">
        <f t="shared" si="27"/>
        <v>25.023947916024643</v>
      </c>
      <c r="M34" s="16">
        <f t="shared" si="27"/>
        <v>24.942259299293919</v>
      </c>
      <c r="N34" s="16">
        <f t="shared" si="26"/>
        <v>25.116290525902315</v>
      </c>
      <c r="O34" s="45">
        <f t="shared" si="20"/>
        <v>0.11629052590231481</v>
      </c>
      <c r="P34" s="16">
        <v>216.26248882265278</v>
      </c>
      <c r="Q34" s="16">
        <f>SUM('[1]2013 Employment'!AM34)-'[1]2013 Employment'!O34 +P34</f>
        <v>267.04885245901642</v>
      </c>
      <c r="R34" s="16">
        <f>SUM('[1]2013 Employment'!BK34-'[1]2013 Employment'!AM34) + Q34</f>
        <v>288.51285245901641</v>
      </c>
      <c r="S34" s="16">
        <f>SUM('[1]2013 Employment'!CI34-'[1]2013 Employment'!BK34) +R34</f>
        <v>315.79885245901642</v>
      </c>
      <c r="T34" s="45">
        <f t="shared" si="21"/>
        <v>99.536363636363632</v>
      </c>
      <c r="U34" s="17"/>
      <c r="W34" s="13">
        <v>3.5714285714285716</v>
      </c>
      <c r="X34" s="13">
        <v>3.5416879309743803</v>
      </c>
      <c r="Y34" s="13">
        <v>3.5465761294866991</v>
      </c>
      <c r="Z34" s="13">
        <v>3.5880415037003308</v>
      </c>
      <c r="AB34" s="13">
        <f t="shared" si="24"/>
        <v>3.5062710516646365</v>
      </c>
      <c r="AC34" s="13">
        <f t="shared" si="25"/>
        <v>3.5146569443213189</v>
      </c>
    </row>
    <row r="35" spans="1:29">
      <c r="A35" s="23" t="s">
        <v>38</v>
      </c>
      <c r="B35" s="24" t="s">
        <v>1</v>
      </c>
      <c r="C35" s="16">
        <v>42</v>
      </c>
      <c r="D35" s="16">
        <v>134.4</v>
      </c>
      <c r="E35" s="16">
        <v>228.2</v>
      </c>
      <c r="F35" s="16">
        <v>322</v>
      </c>
      <c r="G35" s="16">
        <f t="shared" si="22"/>
        <v>136.72968750000001</v>
      </c>
      <c r="H35" s="16">
        <f t="shared" si="18"/>
        <v>232.20484375000001</v>
      </c>
      <c r="I35" s="16">
        <f>SUM(F35*0.94) +25</f>
        <v>327.68</v>
      </c>
      <c r="J35" s="45">
        <f t="shared" si="19"/>
        <v>285.68</v>
      </c>
      <c r="K35" s="16">
        <v>99</v>
      </c>
      <c r="L35" s="16">
        <f t="shared" si="27"/>
        <v>311.71635645626952</v>
      </c>
      <c r="M35" s="16">
        <f t="shared" si="27"/>
        <v>552.43408547291199</v>
      </c>
      <c r="N35" s="16">
        <f t="shared" si="26"/>
        <v>786.74370653174196</v>
      </c>
      <c r="O35" s="45">
        <f t="shared" si="20"/>
        <v>687.74370653174196</v>
      </c>
      <c r="P35" s="16">
        <v>920.48344023270931</v>
      </c>
      <c r="Q35" s="16">
        <f>SUM('[1]2013 Employment'!AM35)-'[1]2013 Employment'!O35 +P35</f>
        <v>1046.5</v>
      </c>
      <c r="R35" s="16">
        <f>SUM('[1]2013 Employment'!BK35-'[1]2013 Employment'!AM35) + Q35</f>
        <v>1096.4560000000001</v>
      </c>
      <c r="S35" s="16">
        <f>SUM('[1]2013 Employment'!CI35-'[1]2013 Employment'!BK35) +R35</f>
        <v>1179.75</v>
      </c>
      <c r="T35" s="45">
        <f t="shared" si="21"/>
        <v>259.26655976729069</v>
      </c>
      <c r="U35" s="17">
        <v>300</v>
      </c>
      <c r="W35" s="13">
        <v>2.3571428571428572</v>
      </c>
      <c r="X35" s="13">
        <v>2.2798001089285713</v>
      </c>
      <c r="Y35" s="13">
        <v>2.3790808001734973</v>
      </c>
      <c r="Z35" s="13">
        <v>2.4009512528434507</v>
      </c>
      <c r="AB35" s="13">
        <f t="shared" si="24"/>
        <v>2.2570021078392855</v>
      </c>
      <c r="AC35" s="13">
        <f t="shared" si="25"/>
        <v>2.3576690729719356</v>
      </c>
    </row>
    <row r="36" spans="1:29">
      <c r="A36" s="23" t="s">
        <v>39</v>
      </c>
      <c r="B36" s="24" t="s">
        <v>1</v>
      </c>
      <c r="C36" s="16">
        <v>465</v>
      </c>
      <c r="D36" s="16">
        <v>505.69</v>
      </c>
      <c r="E36" s="16">
        <v>536.84500000000003</v>
      </c>
      <c r="F36" s="16">
        <v>568</v>
      </c>
      <c r="G36" s="16">
        <f t="shared" si="22"/>
        <v>473.41191489361699</v>
      </c>
      <c r="H36" s="16">
        <f t="shared" si="18"/>
        <v>503.66595744680848</v>
      </c>
      <c r="I36" s="16">
        <f>SUM(F36*0.94)</f>
        <v>533.91999999999996</v>
      </c>
      <c r="J36" s="45">
        <f t="shared" si="19"/>
        <v>68.919999999999959</v>
      </c>
      <c r="K36" s="16">
        <v>1411</v>
      </c>
      <c r="L36" s="16">
        <f t="shared" si="27"/>
        <v>1372.5256604062979</v>
      </c>
      <c r="M36" s="16">
        <f t="shared" si="27"/>
        <v>1449.2049948659944</v>
      </c>
      <c r="N36" s="16">
        <f t="shared" si="26"/>
        <v>1536.8056180163962</v>
      </c>
      <c r="O36" s="45">
        <f t="shared" si="20"/>
        <v>125.80561801639624</v>
      </c>
      <c r="P36" s="16">
        <v>219.59916258169935</v>
      </c>
      <c r="Q36" s="16">
        <f>SUM('[1]2013 Employment'!AM36)-'[1]2013 Employment'!O36 +P36</f>
        <v>266.1522875816994</v>
      </c>
      <c r="R36" s="16">
        <f>SUM('[1]2013 Employment'!BK36-'[1]2013 Employment'!AM36) + Q36</f>
        <v>285.0822875816994</v>
      </c>
      <c r="S36" s="16">
        <f>SUM('[1]2013 Employment'!CI36-'[1]2013 Employment'!BK36) +R36</f>
        <v>297.67728758169937</v>
      </c>
      <c r="T36" s="45">
        <f t="shared" si="21"/>
        <v>78.078125000000028</v>
      </c>
      <c r="U36" s="17">
        <v>59</v>
      </c>
      <c r="W36" s="13">
        <v>2.9705263157894737</v>
      </c>
      <c r="X36" s="13">
        <v>2.8992207784096977</v>
      </c>
      <c r="Y36" s="13">
        <v>2.8773137700477665</v>
      </c>
      <c r="Z36" s="13">
        <v>2.8783443549902539</v>
      </c>
      <c r="AB36" s="13">
        <f t="shared" si="24"/>
        <v>2.8702285706256006</v>
      </c>
      <c r="AC36" s="13">
        <f t="shared" si="25"/>
        <v>2.8514179461173366</v>
      </c>
    </row>
    <row r="37" spans="1:29">
      <c r="A37" s="23" t="s">
        <v>40</v>
      </c>
      <c r="B37" s="24" t="s">
        <v>1</v>
      </c>
      <c r="C37" s="16">
        <v>154</v>
      </c>
      <c r="D37" s="16">
        <v>290.62</v>
      </c>
      <c r="E37" s="16">
        <v>429.31</v>
      </c>
      <c r="F37" s="16">
        <v>568</v>
      </c>
      <c r="G37" s="16">
        <f t="shared" si="22"/>
        <v>272.06978723404256</v>
      </c>
      <c r="H37" s="16">
        <f t="shared" si="18"/>
        <v>402.99489361702126</v>
      </c>
      <c r="I37" s="16">
        <f>SUM(F37*0.94)</f>
        <v>533.91999999999996</v>
      </c>
      <c r="J37" s="45">
        <f t="shared" si="19"/>
        <v>379.91999999999996</v>
      </c>
      <c r="K37" s="16">
        <v>547</v>
      </c>
      <c r="L37" s="16">
        <f t="shared" si="27"/>
        <v>795.42366053208502</v>
      </c>
      <c r="M37" s="16">
        <f t="shared" si="27"/>
        <v>1125.829116889518</v>
      </c>
      <c r="N37" s="16">
        <f t="shared" si="26"/>
        <v>1451.0914608471837</v>
      </c>
      <c r="O37" s="45">
        <f t="shared" si="20"/>
        <v>904.09146084718373</v>
      </c>
      <c r="P37" s="16">
        <v>108.56025509475367</v>
      </c>
      <c r="Q37" s="16">
        <f>SUM('[1]2013 Employment'!AM37)-'[1]2013 Employment'!O37 +P37</f>
        <v>201.75616812352757</v>
      </c>
      <c r="R37" s="16">
        <f>SUM('[1]2013 Employment'!BK37-'[1]2013 Employment'!AM37) + Q37</f>
        <v>362.40816812352762</v>
      </c>
      <c r="S37" s="16">
        <f>SUM('[1]2013 Employment'!CI37-'[1]2013 Employment'!BK37) +R37</f>
        <v>396.1061681235276</v>
      </c>
      <c r="T37" s="45">
        <f t="shared" si="21"/>
        <v>287.54591302877395</v>
      </c>
      <c r="U37" s="17">
        <v>380</v>
      </c>
      <c r="W37" s="13">
        <v>3.551948051948052</v>
      </c>
      <c r="X37" s="13">
        <v>2.9236015825889474</v>
      </c>
      <c r="Y37" s="13">
        <v>2.7936560356504887</v>
      </c>
      <c r="Z37" s="13">
        <v>2.7178069014968234</v>
      </c>
      <c r="AB37" s="13">
        <f t="shared" si="24"/>
        <v>2.8943655667630579</v>
      </c>
      <c r="AC37" s="13">
        <f t="shared" si="25"/>
        <v>2.7685131313296343</v>
      </c>
    </row>
    <row r="38" spans="1:29">
      <c r="A38" s="23" t="s">
        <v>41</v>
      </c>
      <c r="B38" s="24" t="s">
        <v>1</v>
      </c>
      <c r="C38" s="16">
        <v>4</v>
      </c>
      <c r="D38" s="16">
        <v>253.95439882514992</v>
      </c>
      <c r="E38" s="16">
        <v>607.69598551128695</v>
      </c>
      <c r="F38" s="16">
        <v>761.43757219742395</v>
      </c>
      <c r="G38" s="16">
        <f t="shared" si="22"/>
        <v>287.10362505681769</v>
      </c>
      <c r="H38" s="16">
        <f>SUM(I38-G38)/2 +G38 +75</f>
        <v>656.42747146119814</v>
      </c>
      <c r="I38" s="16">
        <f>SUM(F38*0.94) +160</f>
        <v>875.75131786557847</v>
      </c>
      <c r="J38" s="45">
        <f t="shared" si="19"/>
        <v>871.75131786557847</v>
      </c>
      <c r="K38" s="16">
        <v>6</v>
      </c>
      <c r="L38" s="16">
        <f t="shared" si="27"/>
        <v>670.72145703822889</v>
      </c>
      <c r="M38" s="16">
        <f t="shared" si="27"/>
        <v>1604.2718923840978</v>
      </c>
      <c r="N38" s="16">
        <f t="shared" si="26"/>
        <v>2149.0031948013193</v>
      </c>
      <c r="O38" s="45">
        <f t="shared" si="20"/>
        <v>2143.0031948013193</v>
      </c>
      <c r="P38" s="16">
        <v>26.918518518518518</v>
      </c>
      <c r="Q38" s="16">
        <f>SUM('[1]2013 Employment'!AM38)-'[1]2013 Employment'!O38 +P38</f>
        <v>26.549999999999997</v>
      </c>
      <c r="R38" s="16">
        <f>SUM('[1]2013 Employment'!BK38-'[1]2013 Employment'!AM38) + Q38</f>
        <v>26.645999999999997</v>
      </c>
      <c r="S38" s="16">
        <f>SUM('[1]2013 Employment'!CI38-'[1]2013 Employment'!BK38) +R38</f>
        <v>26.874999999999996</v>
      </c>
      <c r="T38" s="45">
        <f t="shared" si="21"/>
        <v>-4.3518518518521176E-2</v>
      </c>
      <c r="U38" s="17" t="s">
        <v>109</v>
      </c>
      <c r="W38" s="13">
        <v>1.5</v>
      </c>
      <c r="X38" s="13">
        <v>2.336165058541122</v>
      </c>
      <c r="Y38" s="13">
        <v>2.4439438660496817</v>
      </c>
      <c r="Z38" s="13">
        <v>2.4538966153530537</v>
      </c>
      <c r="AB38" s="13">
        <f t="shared" si="24"/>
        <v>2.3128034079557107</v>
      </c>
      <c r="AC38" s="13">
        <f t="shared" si="25"/>
        <v>2.4219483712552345</v>
      </c>
    </row>
    <row r="39" spans="1:29">
      <c r="A39" s="23" t="s">
        <v>42</v>
      </c>
      <c r="B39" s="24" t="s">
        <v>1</v>
      </c>
      <c r="C39" s="16">
        <v>369</v>
      </c>
      <c r="D39" s="16">
        <v>460.53803802665431</v>
      </c>
      <c r="E39" s="16">
        <v>533.15998572037915</v>
      </c>
      <c r="F39" s="16">
        <v>605.78193341410395</v>
      </c>
      <c r="G39" s="16">
        <f>SUM(((I39-F39)/I39) *D39) +D39 +30</f>
        <v>373.57142985012001</v>
      </c>
      <c r="H39" s="16">
        <f t="shared" si="18"/>
        <v>428.32976562726577</v>
      </c>
      <c r="I39" s="16">
        <f>SUM(F39*0.88) -50</f>
        <v>483.08810140441153</v>
      </c>
      <c r="J39" s="45">
        <f t="shared" si="19"/>
        <v>114.08810140441153</v>
      </c>
      <c r="K39" s="16">
        <v>1000</v>
      </c>
      <c r="L39" s="16">
        <f t="shared" si="27"/>
        <v>933.92762899083266</v>
      </c>
      <c r="M39" s="16">
        <f t="shared" si="27"/>
        <v>1072.0748271404027</v>
      </c>
      <c r="N39" s="16">
        <f t="shared" si="26"/>
        <v>1213.6633804127559</v>
      </c>
      <c r="O39" s="45">
        <f t="shared" si="20"/>
        <v>213.66338041275594</v>
      </c>
      <c r="P39" s="16">
        <v>1321.4275819974473</v>
      </c>
      <c r="Q39" s="16">
        <f>SUM('[1]2013 Employment'!AM39)-'[1]2013 Employment'!O39 +P39</f>
        <v>1547.1000000000001</v>
      </c>
      <c r="R39" s="16">
        <f>SUM('[1]2013 Employment'!BK39-'[1]2013 Employment'!AM39) + Q39</f>
        <v>1609.7280000000001</v>
      </c>
      <c r="S39" s="16">
        <f>SUM('[1]2013 Employment'!CI39-'[1]2013 Employment'!BK39) +R39</f>
        <v>1703.75</v>
      </c>
      <c r="T39" s="45">
        <f t="shared" si="21"/>
        <v>382.32241800255269</v>
      </c>
      <c r="U39" s="17">
        <v>78</v>
      </c>
      <c r="W39" s="13">
        <v>2.5706940874035991</v>
      </c>
      <c r="X39" s="13">
        <v>2.4999974686649145</v>
      </c>
      <c r="Y39" s="13">
        <v>2.5029192766241848</v>
      </c>
      <c r="Z39" s="13">
        <v>2.5123023665547746</v>
      </c>
      <c r="AB39" s="13">
        <f t="shared" si="24"/>
        <v>2.4749974939782651</v>
      </c>
      <c r="AC39" s="13">
        <f t="shared" si="25"/>
        <v>2.4803930031345671</v>
      </c>
    </row>
    <row r="40" spans="1:29">
      <c r="A40" s="23" t="s">
        <v>43</v>
      </c>
      <c r="B40" s="24" t="s">
        <v>1</v>
      </c>
      <c r="C40" s="16">
        <v>27</v>
      </c>
      <c r="D40" s="16">
        <v>156.69</v>
      </c>
      <c r="E40" s="16">
        <v>288.34500000000003</v>
      </c>
      <c r="F40" s="16">
        <v>420</v>
      </c>
      <c r="G40" s="16">
        <f t="shared" si="22"/>
        <v>7.0029050279329113</v>
      </c>
      <c r="H40" s="16">
        <f t="shared" si="18"/>
        <v>110.90145251396643</v>
      </c>
      <c r="I40" s="16">
        <f>SUM(F40*0.94)-180</f>
        <v>214.79999999999995</v>
      </c>
      <c r="J40" s="45">
        <f t="shared" si="19"/>
        <v>187.79999999999995</v>
      </c>
      <c r="K40" s="16">
        <v>66</v>
      </c>
      <c r="L40" s="16">
        <f t="shared" si="27"/>
        <v>13.777986629665753</v>
      </c>
      <c r="M40" s="16">
        <f t="shared" si="27"/>
        <v>224.61049926673161</v>
      </c>
      <c r="N40" s="16">
        <f t="shared" si="26"/>
        <v>435.66465193331572</v>
      </c>
      <c r="O40" s="45">
        <f t="shared" si="20"/>
        <v>369.66465193331572</v>
      </c>
      <c r="P40" s="16">
        <v>1450.0338759517001</v>
      </c>
      <c r="Q40" s="16">
        <f>SUM('[1]2013 Employment'!AM40)-'[1]2013 Employment'!O40 +P40</f>
        <v>1787.4439130434814</v>
      </c>
      <c r="R40" s="16">
        <f>SUM('[1]2013 Employment'!BK40-'[1]2013 Employment'!AM40) + Q40</f>
        <v>1875.6439130434815</v>
      </c>
      <c r="S40" s="16">
        <f>SUM('[1]2013 Employment'!CI40-'[1]2013 Employment'!BK40) +R40</f>
        <v>1975.2939130434813</v>
      </c>
      <c r="T40" s="45">
        <f t="shared" si="21"/>
        <v>525.26003709178121</v>
      </c>
      <c r="U40" s="17">
        <v>465</v>
      </c>
      <c r="W40" s="13">
        <v>2.4444444444444446</v>
      </c>
      <c r="X40" s="13">
        <v>1.9674672974585066</v>
      </c>
      <c r="Y40" s="13">
        <v>2.0253161178249237</v>
      </c>
      <c r="Z40" s="13">
        <v>2.0282339475480251</v>
      </c>
      <c r="AB40" s="13">
        <f t="shared" si="24"/>
        <v>1.9477926244839214</v>
      </c>
      <c r="AC40" s="13">
        <f t="shared" si="25"/>
        <v>2.0070882727644994</v>
      </c>
    </row>
    <row r="41" spans="1:29">
      <c r="A41" s="23" t="s">
        <v>44</v>
      </c>
      <c r="B41" s="24" t="s">
        <v>1</v>
      </c>
      <c r="C41" s="16">
        <v>244</v>
      </c>
      <c r="D41" s="16">
        <v>259.30475065629344</v>
      </c>
      <c r="E41" s="16">
        <v>274.84139147404591</v>
      </c>
      <c r="F41" s="16">
        <v>290.37803229179838</v>
      </c>
      <c r="G41" s="16">
        <f>SUM(((I41-F41)/I41) *D41) +D41 +3</f>
        <v>245.75338359312573</v>
      </c>
      <c r="H41" s="16">
        <f t="shared" si="18"/>
        <v>259.35436697370807</v>
      </c>
      <c r="I41" s="16">
        <f>SUM(F41*0.94)</f>
        <v>272.95535035429043</v>
      </c>
      <c r="J41" s="45">
        <f t="shared" si="19"/>
        <v>28.955350354290431</v>
      </c>
      <c r="K41" s="16">
        <v>736</v>
      </c>
      <c r="L41" s="16">
        <f t="shared" si="27"/>
        <v>723.27478291294244</v>
      </c>
      <c r="M41" s="16">
        <f t="shared" si="27"/>
        <v>757.12637134130341</v>
      </c>
      <c r="N41" s="16">
        <f t="shared" si="26"/>
        <v>796.7967874051368</v>
      </c>
      <c r="O41" s="45">
        <f t="shared" si="20"/>
        <v>60.796787405136797</v>
      </c>
      <c r="P41" s="16">
        <v>140.23863636363637</v>
      </c>
      <c r="Q41" s="16">
        <f>SUM('[1]2013 Employment'!AM41)-'[1]2013 Employment'!O41 +P41</f>
        <v>191.1</v>
      </c>
      <c r="R41" s="16">
        <f>SUM('[1]2013 Employment'!BK41-'[1]2013 Employment'!AM41) + Q41</f>
        <v>213.71600000000001</v>
      </c>
      <c r="S41" s="16">
        <f>SUM('[1]2013 Employment'!CI41-'[1]2013 Employment'!BK41) +R41</f>
        <v>224.25</v>
      </c>
      <c r="T41" s="45">
        <f t="shared" si="21"/>
        <v>84.011363636363626</v>
      </c>
      <c r="U41" s="17">
        <v>10</v>
      </c>
      <c r="W41" s="13">
        <v>3.0163934426229506</v>
      </c>
      <c r="X41" s="13">
        <v>2.9430918603766236</v>
      </c>
      <c r="Y41" s="13">
        <v>2.91927365702717</v>
      </c>
      <c r="Z41" s="13">
        <v>2.9191469827241376</v>
      </c>
      <c r="AB41" s="13">
        <f t="shared" si="24"/>
        <v>2.9136609417728572</v>
      </c>
      <c r="AC41" s="13">
        <f t="shared" si="25"/>
        <v>2.8930001941139256</v>
      </c>
    </row>
    <row r="42" spans="1:29">
      <c r="A42" s="23" t="s">
        <v>45</v>
      </c>
      <c r="B42" s="24" t="s">
        <v>1</v>
      </c>
      <c r="C42" s="16">
        <v>174</v>
      </c>
      <c r="D42" s="16">
        <v>189.84937018817729</v>
      </c>
      <c r="E42" s="16">
        <v>205.93888234890272</v>
      </c>
      <c r="F42" s="16">
        <v>222.02839450962819</v>
      </c>
      <c r="G42" s="16">
        <f t="shared" si="22"/>
        <v>177.73132528254894</v>
      </c>
      <c r="H42" s="16">
        <f t="shared" si="18"/>
        <v>193.21900806079969</v>
      </c>
      <c r="I42" s="16">
        <f>SUM(F42*0.94)</f>
        <v>208.70669083905048</v>
      </c>
      <c r="J42" s="45">
        <f t="shared" si="19"/>
        <v>34.706690839050481</v>
      </c>
      <c r="K42" s="16">
        <v>532</v>
      </c>
      <c r="L42" s="16">
        <f t="shared" si="27"/>
        <v>526.5264805909261</v>
      </c>
      <c r="M42" s="16">
        <f t="shared" si="27"/>
        <v>565.75335325480296</v>
      </c>
      <c r="N42" s="16">
        <f t="shared" si="26"/>
        <v>608.77167454628159</v>
      </c>
      <c r="O42" s="45">
        <f t="shared" si="20"/>
        <v>76.771674546281588</v>
      </c>
      <c r="P42" s="16">
        <v>24.660000000000004</v>
      </c>
      <c r="Q42" s="16">
        <f>SUM('[1]2013 Employment'!AM42)-'[1]2013 Employment'!O42 +P42</f>
        <v>27.105766415000005</v>
      </c>
      <c r="R42" s="16">
        <f>SUM('[1]2013 Employment'!BK42-'[1]2013 Employment'!AM42) + Q42</f>
        <v>32.125336599600004</v>
      </c>
      <c r="S42" s="16">
        <f>SUM('[1]2013 Employment'!CI42-'[1]2013 Employment'!BK42) +R42</f>
        <v>33.708785175000003</v>
      </c>
      <c r="T42" s="45">
        <f t="shared" si="21"/>
        <v>9.048785174999999</v>
      </c>
      <c r="U42" s="17">
        <v>47</v>
      </c>
      <c r="W42" s="13">
        <v>3.0574712643678161</v>
      </c>
      <c r="X42" s="13">
        <v>2.9624855368285754</v>
      </c>
      <c r="Y42" s="13">
        <v>2.9280419091934213</v>
      </c>
      <c r="Z42" s="13">
        <v>2.9168766564161159</v>
      </c>
      <c r="AB42" s="13">
        <f t="shared" si="24"/>
        <v>2.9328606814602898</v>
      </c>
      <c r="AC42" s="13">
        <f t="shared" si="25"/>
        <v>2.9016895320106806</v>
      </c>
    </row>
    <row r="43" spans="1:29">
      <c r="A43" s="23" t="s">
        <v>46</v>
      </c>
      <c r="B43" s="24" t="s">
        <v>1</v>
      </c>
      <c r="C43" s="16">
        <v>295</v>
      </c>
      <c r="D43" s="16">
        <v>302.26</v>
      </c>
      <c r="E43" s="16">
        <v>309.63</v>
      </c>
      <c r="F43" s="16">
        <v>317</v>
      </c>
      <c r="G43" s="16">
        <f t="shared" si="22"/>
        <v>320.18140423764015</v>
      </c>
      <c r="H43" s="16">
        <f t="shared" si="18"/>
        <v>328.58070211882006</v>
      </c>
      <c r="I43" s="16">
        <f>SUM(F43*0.94) + 39</f>
        <v>336.97999999999996</v>
      </c>
      <c r="J43" s="45">
        <f t="shared" si="19"/>
        <v>41.979999999999961</v>
      </c>
      <c r="K43" s="16">
        <v>825</v>
      </c>
      <c r="L43" s="16">
        <f t="shared" si="27"/>
        <v>882.52094655621841</v>
      </c>
      <c r="M43" s="16">
        <f t="shared" si="27"/>
        <v>903.84205632383123</v>
      </c>
      <c r="N43" s="16">
        <f t="shared" si="26"/>
        <v>933.30224793544028</v>
      </c>
      <c r="O43" s="45">
        <f t="shared" si="20"/>
        <v>108.30224793544028</v>
      </c>
      <c r="P43" s="16">
        <v>110.08897637795276</v>
      </c>
      <c r="Q43" s="16">
        <f>SUM('[1]2013 Employment'!AM43)-'[1]2013 Employment'!O43 +P43</f>
        <v>136.5</v>
      </c>
      <c r="R43" s="16">
        <f>SUM('[1]2013 Employment'!BK43-'[1]2013 Employment'!AM43) + Q43</f>
        <v>148.69287447800002</v>
      </c>
      <c r="S43" s="16">
        <f>SUM('[1]2013 Employment'!CI43-'[1]2013 Employment'!BK43) +R43</f>
        <v>180.375</v>
      </c>
      <c r="T43" s="45">
        <f t="shared" si="21"/>
        <v>70.286023622047239</v>
      </c>
      <c r="U43" s="17">
        <v>15</v>
      </c>
      <c r="W43" s="13">
        <v>2.7966101694915255</v>
      </c>
      <c r="X43" s="13">
        <v>2.7563154351750145</v>
      </c>
      <c r="Y43" s="13">
        <v>2.7507460130661827</v>
      </c>
      <c r="Z43" s="13">
        <v>2.7696072405942203</v>
      </c>
      <c r="AB43" s="13">
        <f t="shared" si="24"/>
        <v>2.7287522808232643</v>
      </c>
      <c r="AC43" s="13">
        <f t="shared" si="25"/>
        <v>2.725989298948587</v>
      </c>
    </row>
    <row r="44" spans="1:29">
      <c r="A44" s="23" t="s">
        <v>47</v>
      </c>
      <c r="B44" s="24" t="s">
        <v>1</v>
      </c>
      <c r="C44" s="16">
        <v>144</v>
      </c>
      <c r="D44" s="16">
        <v>193.36177341901524</v>
      </c>
      <c r="E44" s="16">
        <v>223.16842219286406</v>
      </c>
      <c r="F44" s="16">
        <v>252.97507096671285</v>
      </c>
      <c r="G44" s="16">
        <f t="shared" si="22"/>
        <v>145.02133006426143</v>
      </c>
      <c r="H44" s="16">
        <f t="shared" si="18"/>
        <v>173.70069341881586</v>
      </c>
      <c r="I44" s="16">
        <f>SUM(F44*0.8)</f>
        <v>202.38005677337028</v>
      </c>
      <c r="J44" s="45">
        <f t="shared" si="19"/>
        <v>58.380056773370285</v>
      </c>
      <c r="K44" s="16">
        <v>453</v>
      </c>
      <c r="L44" s="16">
        <f t="shared" si="27"/>
        <v>386.01849614387061</v>
      </c>
      <c r="M44" s="16">
        <f t="shared" si="27"/>
        <v>459.101433405183</v>
      </c>
      <c r="N44" s="16">
        <f t="shared" si="26"/>
        <v>533.76758910145918</v>
      </c>
      <c r="O44" s="45">
        <f t="shared" si="20"/>
        <v>80.76758910145918</v>
      </c>
      <c r="P44" s="16">
        <v>5.2555555555555555</v>
      </c>
      <c r="Q44" s="16">
        <f>SUM('[1]2013 Employment'!AM44)-'[1]2013 Employment'!O44 +P44</f>
        <v>18.2</v>
      </c>
      <c r="R44" s="16">
        <f>SUM('[1]2013 Employment'!BK44-'[1]2013 Employment'!AM44) + Q44</f>
        <v>18.584</v>
      </c>
      <c r="S44" s="16">
        <f>SUM('[1]2013 Employment'!CI44-'[1]2013 Employment'!BK44) +R44</f>
        <v>24.375</v>
      </c>
      <c r="T44" s="45">
        <f t="shared" si="21"/>
        <v>19.119444444444444</v>
      </c>
      <c r="U44" s="17"/>
      <c r="W44" s="13">
        <v>2.7621951219512195</v>
      </c>
      <c r="X44" s="13">
        <v>2.6618049632617438</v>
      </c>
      <c r="Y44" s="13">
        <v>2.6430604528343902</v>
      </c>
      <c r="Z44" s="13">
        <v>2.6374515236903213</v>
      </c>
      <c r="AB44" s="13">
        <f t="shared" si="24"/>
        <v>2.6351869136291262</v>
      </c>
      <c r="AC44" s="13">
        <f t="shared" si="25"/>
        <v>2.6192729087588806</v>
      </c>
    </row>
    <row r="45" spans="1:29">
      <c r="A45" s="14" t="s">
        <v>48</v>
      </c>
      <c r="B45" s="15" t="s">
        <v>1</v>
      </c>
      <c r="C45" s="16">
        <v>205</v>
      </c>
      <c r="D45" s="16">
        <v>269.55</v>
      </c>
      <c r="E45" s="16">
        <v>314.77499999999998</v>
      </c>
      <c r="F45" s="16">
        <v>360</v>
      </c>
      <c r="G45" s="16">
        <f t="shared" si="22"/>
        <v>210.60304671631684</v>
      </c>
      <c r="H45" s="16">
        <f t="shared" si="18"/>
        <v>253.00152335815841</v>
      </c>
      <c r="I45" s="16">
        <f>SUM(F45*0.94) -43</f>
        <v>295.39999999999998</v>
      </c>
      <c r="J45" s="45">
        <f t="shared" si="19"/>
        <v>90.399999999999977</v>
      </c>
      <c r="K45" s="16">
        <v>661</v>
      </c>
      <c r="L45" s="16">
        <f t="shared" si="27"/>
        <v>586.75983343134646</v>
      </c>
      <c r="M45" s="16">
        <f t="shared" si="27"/>
        <v>691.73216857223133</v>
      </c>
      <c r="N45" s="16">
        <f t="shared" si="26"/>
        <v>798.79606364156086</v>
      </c>
      <c r="O45" s="45">
        <f t="shared" si="20"/>
        <v>137.79606364156086</v>
      </c>
      <c r="P45" s="16">
        <v>404.52881944444442</v>
      </c>
      <c r="Q45" s="16">
        <f>SUM('[1]2013 Employment'!AM45)-'[1]2013 Employment'!O45 +P45</f>
        <v>489.5</v>
      </c>
      <c r="R45" s="16">
        <f>SUM('[1]2013 Employment'!BK45-'[1]2013 Employment'!AM45) + Q45</f>
        <v>517.68399999999997</v>
      </c>
      <c r="S45" s="16">
        <f>SUM('[1]2013 Employment'!CI45-'[1]2013 Employment'!BK45) +R45</f>
        <v>570.75</v>
      </c>
      <c r="T45" s="45">
        <f t="shared" si="21"/>
        <v>166.22118055555558</v>
      </c>
      <c r="U45" s="17" t="s">
        <v>108</v>
      </c>
      <c r="W45" s="13">
        <v>2.9377777777777778</v>
      </c>
      <c r="X45" s="13">
        <v>2.7860937559071228</v>
      </c>
      <c r="Y45" s="13">
        <v>2.7341027808476452</v>
      </c>
      <c r="Z45" s="13">
        <v>2.7041166677100912</v>
      </c>
      <c r="AB45" s="13">
        <f t="shared" si="24"/>
        <v>2.7582328183480516</v>
      </c>
      <c r="AC45" s="13">
        <f t="shared" si="25"/>
        <v>2.7094958558200166</v>
      </c>
    </row>
    <row r="46" spans="1:29">
      <c r="A46" s="14" t="s">
        <v>49</v>
      </c>
      <c r="B46" s="15" t="s">
        <v>1</v>
      </c>
      <c r="C46" s="16">
        <v>340</v>
      </c>
      <c r="D46" s="16">
        <v>414.90999999999997</v>
      </c>
      <c r="E46" s="16">
        <v>490.95499999999998</v>
      </c>
      <c r="F46" s="16">
        <v>567</v>
      </c>
      <c r="G46" s="16">
        <f t="shared" si="22"/>
        <v>446.03264967861918</v>
      </c>
      <c r="H46" s="16">
        <f t="shared" si="18"/>
        <v>529.50632483930963</v>
      </c>
      <c r="I46" s="16">
        <f>SUM(F46*0.94)+80</f>
        <v>612.98</v>
      </c>
      <c r="J46" s="45">
        <f t="shared" si="19"/>
        <v>272.98</v>
      </c>
      <c r="K46" s="16">
        <v>921</v>
      </c>
      <c r="L46" s="16">
        <f t="shared" si="27"/>
        <v>1157.057351511965</v>
      </c>
      <c r="M46" s="16">
        <f t="shared" si="27"/>
        <v>1362.230123995668</v>
      </c>
      <c r="N46" s="16">
        <f t="shared" si="26"/>
        <v>1571.0659688478975</v>
      </c>
      <c r="O46" s="45">
        <f t="shared" si="20"/>
        <v>650.06596884789747</v>
      </c>
      <c r="P46" s="16">
        <v>392.9548513902206</v>
      </c>
      <c r="Q46" s="16">
        <f>SUM('[1]2013 Employment'!AM46)-'[1]2013 Employment'!O46 +P46</f>
        <v>400.40000000000003</v>
      </c>
      <c r="R46" s="16">
        <f>SUM('[1]2013 Employment'!BK46-'[1]2013 Employment'!AM46) + Q46</f>
        <v>422.786</v>
      </c>
      <c r="S46" s="16">
        <f>SUM('[1]2013 Employment'!CI46-'[1]2013 Employment'!BK46) +R46</f>
        <v>453.375</v>
      </c>
      <c r="T46" s="45">
        <f t="shared" si="21"/>
        <v>60.420148609779403</v>
      </c>
      <c r="U46" s="17">
        <v>275</v>
      </c>
      <c r="W46" s="13">
        <v>2.7088235294117649</v>
      </c>
      <c r="X46" s="13">
        <v>2.5941090912193578</v>
      </c>
      <c r="Y46" s="13">
        <v>2.5726418365428718</v>
      </c>
      <c r="Z46" s="13">
        <v>2.5629971105874536</v>
      </c>
      <c r="AB46" s="13">
        <f t="shared" si="24"/>
        <v>2.5681680003071641</v>
      </c>
      <c r="AC46" s="13">
        <f t="shared" si="25"/>
        <v>2.549488060013986</v>
      </c>
    </row>
    <row r="47" spans="1:29" ht="13.5" thickBot="1">
      <c r="A47" s="27" t="s">
        <v>50</v>
      </c>
      <c r="B47" s="28" t="s">
        <v>1</v>
      </c>
      <c r="C47" s="16">
        <v>274</v>
      </c>
      <c r="D47" s="16">
        <v>294.79000000000002</v>
      </c>
      <c r="E47" s="16">
        <v>315.89499999999998</v>
      </c>
      <c r="F47" s="16">
        <v>337</v>
      </c>
      <c r="G47" s="16">
        <f t="shared" si="22"/>
        <v>318.72490975516661</v>
      </c>
      <c r="H47" s="16">
        <f t="shared" si="18"/>
        <v>342.75245487758332</v>
      </c>
      <c r="I47" s="16">
        <f>SUM(F47*0.94) +50</f>
        <v>366.78</v>
      </c>
      <c r="J47" s="45">
        <f t="shared" si="19"/>
        <v>92.779999999999973</v>
      </c>
      <c r="K47" s="16">
        <v>815</v>
      </c>
      <c r="L47" s="16">
        <f t="shared" si="27"/>
        <v>923.05660145969978</v>
      </c>
      <c r="M47" s="16">
        <f t="shared" si="27"/>
        <v>984.06860232591282</v>
      </c>
      <c r="N47" s="16">
        <f t="shared" si="26"/>
        <v>1052.096913182562</v>
      </c>
      <c r="O47" s="45">
        <f t="shared" si="20"/>
        <v>237.09691318256205</v>
      </c>
      <c r="P47" s="51">
        <v>69.533333333333317</v>
      </c>
      <c r="Q47" s="16">
        <f>SUM('[1]2013 Employment'!AM47)-'[1]2013 Employment'!O47 +P47</f>
        <v>81.900000000000006</v>
      </c>
      <c r="R47" s="16">
        <f>SUM('[1]2013 Employment'!BK47-'[1]2013 Employment'!AM47) + Q47</f>
        <v>102.212</v>
      </c>
      <c r="S47" s="16">
        <f>SUM('[1]2013 Employment'!CI47-'[1]2013 Employment'!BK47) +R47</f>
        <v>107.25</v>
      </c>
      <c r="T47" s="45">
        <f t="shared" si="21"/>
        <v>37.716666666666683</v>
      </c>
      <c r="U47" s="29">
        <v>190</v>
      </c>
      <c r="W47" s="13">
        <v>2.9744525547445257</v>
      </c>
      <c r="X47" s="13">
        <v>2.8960918121171004</v>
      </c>
      <c r="Y47" s="13">
        <v>2.8710767445192493</v>
      </c>
      <c r="Z47" s="13">
        <v>2.8684686002032884</v>
      </c>
      <c r="AB47" s="13">
        <f t="shared" si="24"/>
        <v>2.8671308939959292</v>
      </c>
      <c r="AC47" s="13">
        <f t="shared" si="25"/>
        <v>2.8452370538185763</v>
      </c>
    </row>
    <row r="48" spans="1:29" ht="13.5" thickBot="1">
      <c r="A48" s="6"/>
      <c r="B48" s="7" t="s">
        <v>10</v>
      </c>
      <c r="C48" s="11">
        <f t="shared" ref="C48:I48" si="28">SUM(C19:C47)</f>
        <v>9774</v>
      </c>
      <c r="D48" s="11">
        <f t="shared" si="28"/>
        <v>11861.563493908119</v>
      </c>
      <c r="E48" s="11">
        <f t="shared" si="28"/>
        <v>14363.87794984514</v>
      </c>
      <c r="F48" s="11">
        <f t="shared" si="28"/>
        <v>16116.192405782173</v>
      </c>
      <c r="G48" s="11">
        <f t="shared" si="28"/>
        <v>11327.919598166427</v>
      </c>
      <c r="H48" s="11">
        <f t="shared" si="28"/>
        <v>13674.792959970095</v>
      </c>
      <c r="I48" s="11">
        <f t="shared" si="28"/>
        <v>15471.666321773761</v>
      </c>
      <c r="J48" s="11">
        <f>SUM(J19:J47)</f>
        <v>5697.6663217737632</v>
      </c>
      <c r="K48" s="8">
        <f>SUM(K19:K47)</f>
        <v>26070</v>
      </c>
      <c r="L48" s="8">
        <f t="shared" ref="L48:O48" si="29">SUM(L19:L47)</f>
        <v>28605.175202332906</v>
      </c>
      <c r="M48" s="8">
        <f t="shared" si="29"/>
        <v>34455.084553145884</v>
      </c>
      <c r="N48" s="8">
        <f t="shared" si="29"/>
        <v>39321.89668622415</v>
      </c>
      <c r="O48" s="8">
        <f t="shared" si="29"/>
        <v>13251.896686224145</v>
      </c>
      <c r="P48" s="9">
        <f>SUM(P19:P47)</f>
        <v>19422.8816775698</v>
      </c>
      <c r="Q48" s="8">
        <f t="shared" ref="Q48:T48" si="30">SUM(Q19:Q47)</f>
        <v>23058.371846206235</v>
      </c>
      <c r="R48" s="8">
        <f t="shared" si="30"/>
        <v>24737.992290868846</v>
      </c>
      <c r="S48" s="8">
        <f t="shared" si="30"/>
        <v>26372.174864966237</v>
      </c>
      <c r="T48" s="8">
        <f t="shared" si="30"/>
        <v>6949.2931873964317</v>
      </c>
      <c r="U48" s="9"/>
      <c r="W48" s="13">
        <v>2.764898627892689</v>
      </c>
      <c r="X48" s="13">
        <v>2.6502102051389214</v>
      </c>
      <c r="Y48" s="13">
        <v>2.6203323797068214</v>
      </c>
      <c r="Z48" s="13">
        <v>2.6144504232196022</v>
      </c>
      <c r="AB48" s="13">
        <f t="shared" si="24"/>
        <v>2.623708103087532</v>
      </c>
      <c r="AC48" s="13">
        <f t="shared" si="25"/>
        <v>2.5967493882894601</v>
      </c>
    </row>
    <row r="49" spans="1:26" s="22" customFormat="1" ht="13.5" thickBot="1">
      <c r="A49" s="18"/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0"/>
      <c r="W49" s="13"/>
      <c r="X49" s="13"/>
      <c r="Y49" s="13"/>
      <c r="Z49" s="13"/>
    </row>
    <row r="50" spans="1:26" s="44" customFormat="1" ht="38.25" customHeight="1" thickTop="1">
      <c r="A50" s="5" t="s">
        <v>0</v>
      </c>
      <c r="B50" s="4" t="s">
        <v>11</v>
      </c>
      <c r="C50" s="4" t="s">
        <v>134</v>
      </c>
      <c r="D50" s="4" t="s">
        <v>103</v>
      </c>
      <c r="E50" s="4" t="s">
        <v>104</v>
      </c>
      <c r="F50" s="4" t="s">
        <v>105</v>
      </c>
      <c r="G50" s="4" t="s">
        <v>137</v>
      </c>
      <c r="H50" s="4" t="s">
        <v>136</v>
      </c>
      <c r="I50" s="4" t="s">
        <v>135</v>
      </c>
      <c r="J50" s="12" t="s">
        <v>102</v>
      </c>
      <c r="K50" s="4" t="s">
        <v>130</v>
      </c>
      <c r="L50" s="4" t="s">
        <v>131</v>
      </c>
      <c r="M50" s="4" t="s">
        <v>132</v>
      </c>
      <c r="N50" s="4" t="s">
        <v>133</v>
      </c>
      <c r="O50" s="12" t="s">
        <v>138</v>
      </c>
      <c r="P50" s="4" t="s">
        <v>127</v>
      </c>
      <c r="Q50" s="4" t="s">
        <v>126</v>
      </c>
      <c r="R50" s="4" t="s">
        <v>128</v>
      </c>
      <c r="S50" s="4" t="s">
        <v>129</v>
      </c>
      <c r="T50" s="12" t="s">
        <v>139</v>
      </c>
      <c r="U50" s="43" t="s">
        <v>101</v>
      </c>
      <c r="W50" s="13"/>
      <c r="X50" s="13"/>
      <c r="Y50" s="13"/>
      <c r="Z50" s="13"/>
    </row>
    <row r="51" spans="1:26">
      <c r="A51" s="14" t="s">
        <v>51</v>
      </c>
      <c r="B51" s="15" t="s">
        <v>3</v>
      </c>
      <c r="C51" s="16">
        <v>133</v>
      </c>
      <c r="D51" s="16">
        <v>137.90049999999999</v>
      </c>
      <c r="E51" s="16">
        <v>142.87524999999999</v>
      </c>
      <c r="F51" s="16">
        <v>147.85</v>
      </c>
      <c r="G51" s="16">
        <f t="shared" ref="G51:G63" si="31">SUM(((I51-F51)/I51) *D51) +D51</f>
        <v>132.89892746113986</v>
      </c>
      <c r="H51" s="16">
        <f t="shared" ref="H51:H63" si="32">SUM(I51-G51)/2 +G51</f>
        <v>137.78708873056991</v>
      </c>
      <c r="I51" s="16">
        <f>SUM(F51*0.965)</f>
        <v>142.67524999999998</v>
      </c>
      <c r="J51" s="45">
        <f t="shared" ref="J51:J63" si="33">SUM(I51-C51)</f>
        <v>9.675249999999977</v>
      </c>
      <c r="K51" s="16">
        <v>383</v>
      </c>
      <c r="L51" s="16">
        <f t="shared" ref="L51:N63" si="34">SUM(G51*X51)</f>
        <v>380.16441551067351</v>
      </c>
      <c r="M51" s="16">
        <f t="shared" si="34"/>
        <v>392.97846139652637</v>
      </c>
      <c r="N51" s="16">
        <f t="shared" si="34"/>
        <v>405.04614661598299</v>
      </c>
      <c r="O51" s="45">
        <f t="shared" ref="O51:O63" si="35">SUM(N51-K51)</f>
        <v>22.046146615982991</v>
      </c>
      <c r="P51" s="16">
        <v>147.98141911330046</v>
      </c>
      <c r="Q51" s="16">
        <f>SUM('[1]2013 Employment'!AM51)-'[1]2013 Employment'!O51 +P51</f>
        <v>161.34046344827584</v>
      </c>
      <c r="R51" s="16">
        <f>SUM('[1]2013 Employment'!BK51-'[1]2013 Employment'!AM51) + Q51</f>
        <v>173.48546344827585</v>
      </c>
      <c r="S51" s="16">
        <f>SUM('[1]2013 Employment'!CI51-'[1]2013 Employment'!BK51) +R51</f>
        <v>183.29046344827583</v>
      </c>
      <c r="T51" s="45">
        <f t="shared" ref="T51:T63" si="36">SUM(S51-P51)</f>
        <v>35.309044334975368</v>
      </c>
      <c r="U51" s="17">
        <v>15</v>
      </c>
      <c r="W51" s="13">
        <v>2.8796992481203008</v>
      </c>
      <c r="X51" s="13">
        <v>2.860552923738493</v>
      </c>
      <c r="Y51" s="13">
        <v>2.8520702847925028</v>
      </c>
      <c r="Z51" s="13">
        <v>2.8389377037431722</v>
      </c>
    </row>
    <row r="52" spans="1:26">
      <c r="A52" s="14" t="s">
        <v>52</v>
      </c>
      <c r="B52" s="15" t="s">
        <v>3</v>
      </c>
      <c r="C52" s="16">
        <v>240</v>
      </c>
      <c r="D52" s="16">
        <v>361.44</v>
      </c>
      <c r="E52" s="16">
        <v>484.72</v>
      </c>
      <c r="F52" s="16">
        <v>608</v>
      </c>
      <c r="G52" s="16">
        <f t="shared" si="31"/>
        <v>348.33077720207257</v>
      </c>
      <c r="H52" s="16">
        <f t="shared" si="32"/>
        <v>467.5253886010363</v>
      </c>
      <c r="I52" s="16">
        <f>SUM(F52*0.965)</f>
        <v>586.72</v>
      </c>
      <c r="J52" s="45">
        <f t="shared" si="33"/>
        <v>346.72</v>
      </c>
      <c r="K52" s="16">
        <v>637</v>
      </c>
      <c r="L52" s="16">
        <f t="shared" si="34"/>
        <v>865.23254225491269</v>
      </c>
      <c r="M52" s="16">
        <f t="shared" si="34"/>
        <v>1151.4105294777612</v>
      </c>
      <c r="N52" s="16">
        <f t="shared" si="34"/>
        <v>1420.6449367588339</v>
      </c>
      <c r="O52" s="45">
        <f t="shared" si="35"/>
        <v>783.64493675883386</v>
      </c>
      <c r="P52" s="16">
        <v>82.028184837540991</v>
      </c>
      <c r="Q52" s="16">
        <f>SUM('[1]2013 Employment'!AM52)-'[1]2013 Employment'!O52 +P52</f>
        <v>105.31179530651737</v>
      </c>
      <c r="R52" s="16">
        <f>SUM('[1]2013 Employment'!BK52-'[1]2013 Employment'!AM52) + Q52</f>
        <v>111.59679530651738</v>
      </c>
      <c r="S52" s="16">
        <f>SUM('[1]2013 Employment'!CI52-'[1]2013 Employment'!BK52) +R52</f>
        <v>136.56179530651735</v>
      </c>
      <c r="T52" s="45">
        <f t="shared" si="36"/>
        <v>54.533610468976363</v>
      </c>
      <c r="U52" s="17">
        <v>517</v>
      </c>
      <c r="W52" s="13">
        <v>2.6541666666666668</v>
      </c>
      <c r="X52" s="13">
        <v>2.4839394015217229</v>
      </c>
      <c r="Y52" s="13">
        <v>2.462776477065975</v>
      </c>
      <c r="Z52" s="13">
        <v>2.4213337482254462</v>
      </c>
    </row>
    <row r="53" spans="1:26">
      <c r="A53" s="14" t="s">
        <v>53</v>
      </c>
      <c r="B53" s="15" t="s">
        <v>3</v>
      </c>
      <c r="C53" s="16">
        <v>135</v>
      </c>
      <c r="D53" s="16">
        <v>141.71233497665705</v>
      </c>
      <c r="E53" s="16">
        <v>148.52637199841496</v>
      </c>
      <c r="F53" s="16">
        <v>155.3404090201729</v>
      </c>
      <c r="G53" s="16">
        <f t="shared" si="31"/>
        <v>136.57250935574203</v>
      </c>
      <c r="H53" s="16">
        <f t="shared" si="32"/>
        <v>143.23800203010444</v>
      </c>
      <c r="I53" s="16">
        <f>SUM(F53*0.965)</f>
        <v>149.90349470446685</v>
      </c>
      <c r="J53" s="45">
        <f t="shared" si="33"/>
        <v>14.903494704466851</v>
      </c>
      <c r="K53" s="16">
        <v>362</v>
      </c>
      <c r="L53" s="16">
        <f t="shared" si="34"/>
        <v>364.01360253886747</v>
      </c>
      <c r="M53" s="16">
        <f t="shared" si="34"/>
        <v>381.46129062380777</v>
      </c>
      <c r="N53" s="16">
        <f t="shared" si="34"/>
        <v>397.88830453893684</v>
      </c>
      <c r="O53" s="45">
        <f t="shared" si="35"/>
        <v>35.888304538936836</v>
      </c>
      <c r="P53" s="16">
        <v>55.033800000000014</v>
      </c>
      <c r="Q53" s="16">
        <f>SUM('[1]2013 Employment'!AM53)-'[1]2013 Employment'!O53 +P53</f>
        <v>55.520799999999994</v>
      </c>
      <c r="R53" s="16">
        <f>SUM('[1]2013 Employment'!BK53-'[1]2013 Employment'!AM53) + Q53</f>
        <v>60.870799999999996</v>
      </c>
      <c r="S53" s="16">
        <f>SUM('[1]2013 Employment'!CI53-'[1]2013 Employment'!BK53) +R53</f>
        <v>63.520799999999994</v>
      </c>
      <c r="T53" s="45">
        <f t="shared" si="36"/>
        <v>8.4869999999999806</v>
      </c>
      <c r="U53" s="17"/>
      <c r="W53" s="13">
        <v>2.6814814814814816</v>
      </c>
      <c r="X53" s="13">
        <v>2.6653504739426754</v>
      </c>
      <c r="Y53" s="13">
        <v>2.6631290943560897</v>
      </c>
      <c r="Z53" s="13">
        <v>2.6542963879752732</v>
      </c>
    </row>
    <row r="54" spans="1:26">
      <c r="A54" s="14" t="s">
        <v>54</v>
      </c>
      <c r="B54" s="15" t="s">
        <v>3</v>
      </c>
      <c r="C54" s="16">
        <v>406</v>
      </c>
      <c r="D54" s="16">
        <v>421.84</v>
      </c>
      <c r="E54" s="16">
        <v>437.91999999999996</v>
      </c>
      <c r="F54" s="16">
        <v>454</v>
      </c>
      <c r="G54" s="16">
        <f t="shared" si="31"/>
        <v>406.54010362694299</v>
      </c>
      <c r="H54" s="16">
        <f t="shared" si="32"/>
        <v>422.32505181347153</v>
      </c>
      <c r="I54" s="16">
        <f>SUM(F54*0.965)</f>
        <v>438.11</v>
      </c>
      <c r="J54" s="45">
        <f t="shared" si="33"/>
        <v>32.110000000000014</v>
      </c>
      <c r="K54" s="16">
        <v>1086</v>
      </c>
      <c r="L54" s="16">
        <f t="shared" si="34"/>
        <v>1082.3466950300517</v>
      </c>
      <c r="M54" s="16">
        <f t="shared" si="34"/>
        <v>1123.667415908237</v>
      </c>
      <c r="N54" s="16">
        <f t="shared" si="34"/>
        <v>1162.5795648193391</v>
      </c>
      <c r="O54" s="45">
        <f t="shared" si="35"/>
        <v>76.579564819339112</v>
      </c>
      <c r="P54" s="16">
        <v>45.60311351351352</v>
      </c>
      <c r="Q54" s="16">
        <f>SUM('[1]2013 Employment'!AM54)-'[1]2013 Employment'!O54 +P54</f>
        <v>46.129600000000003</v>
      </c>
      <c r="R54" s="16">
        <f>SUM('[1]2013 Employment'!BK54-'[1]2013 Employment'!AM54) + Q54</f>
        <v>51.394600000000004</v>
      </c>
      <c r="S54" s="16">
        <f>SUM('[1]2013 Employment'!CI54-'[1]2013 Employment'!BK54) +R54</f>
        <v>53.779600000000002</v>
      </c>
      <c r="T54" s="45">
        <f t="shared" si="36"/>
        <v>8.1764864864864819</v>
      </c>
      <c r="U54" s="17">
        <v>65</v>
      </c>
      <c r="W54" s="13">
        <v>2.6748768472906406</v>
      </c>
      <c r="X54" s="13">
        <v>2.6623368405082495</v>
      </c>
      <c r="Y54" s="13">
        <v>2.6606695744976254</v>
      </c>
      <c r="Z54" s="13">
        <v>2.6536248084255987</v>
      </c>
    </row>
    <row r="55" spans="1:26">
      <c r="A55" s="14" t="s">
        <v>55</v>
      </c>
      <c r="B55" s="15" t="s">
        <v>3</v>
      </c>
      <c r="C55" s="16">
        <v>950</v>
      </c>
      <c r="D55" s="16">
        <v>1106.75</v>
      </c>
      <c r="E55" s="16">
        <v>1265.875</v>
      </c>
      <c r="F55" s="16">
        <v>1425</v>
      </c>
      <c r="G55" s="16">
        <f>SUM(((I55-F55)/I55) *D55) +D55 +25</f>
        <v>1108.8599247918346</v>
      </c>
      <c r="H55" s="16">
        <f t="shared" si="32"/>
        <v>1252.4924623959173</v>
      </c>
      <c r="I55" s="16">
        <f>SUM(F55*0.965)+21</f>
        <v>1396.125</v>
      </c>
      <c r="J55" s="45">
        <f t="shared" si="33"/>
        <v>446.125</v>
      </c>
      <c r="K55" s="16">
        <v>2707</v>
      </c>
      <c r="L55" s="16">
        <f t="shared" si="34"/>
        <v>3090.1782547927264</v>
      </c>
      <c r="M55" s="16">
        <f t="shared" si="34"/>
        <v>3457.2877611765684</v>
      </c>
      <c r="N55" s="16">
        <f t="shared" si="34"/>
        <v>3801.2341261543884</v>
      </c>
      <c r="O55" s="45">
        <f t="shared" si="35"/>
        <v>1094.2341261543884</v>
      </c>
      <c r="P55" s="16">
        <v>281.02959593717065</v>
      </c>
      <c r="Q55" s="16">
        <f>SUM('[1]2013 Employment'!AM55)-'[1]2013 Employment'!O55 +P55</f>
        <v>366.00000000000017</v>
      </c>
      <c r="R55" s="16">
        <f>SUM('[1]2013 Employment'!BK55-'[1]2013 Employment'!AM55) + Q55</f>
        <v>387.23500000000018</v>
      </c>
      <c r="S55" s="16">
        <f>SUM('[1]2013 Employment'!CI55-'[1]2013 Employment'!BK55) +R55</f>
        <v>421.05000000000018</v>
      </c>
      <c r="T55" s="45">
        <f t="shared" si="36"/>
        <v>140.02040406282953</v>
      </c>
      <c r="U55" s="17" t="s">
        <v>110</v>
      </c>
      <c r="W55" s="13">
        <v>2.8494736842105262</v>
      </c>
      <c r="X55" s="13">
        <v>2.7868066882954969</v>
      </c>
      <c r="Y55" s="13">
        <v>2.7603262015350216</v>
      </c>
      <c r="Z55" s="13">
        <v>2.7227032867074139</v>
      </c>
    </row>
    <row r="56" spans="1:26">
      <c r="A56" s="14" t="s">
        <v>56</v>
      </c>
      <c r="B56" s="15" t="s">
        <v>3</v>
      </c>
      <c r="C56" s="16">
        <v>166</v>
      </c>
      <c r="D56" s="16">
        <v>182.83</v>
      </c>
      <c r="E56" s="16">
        <v>199.91500000000002</v>
      </c>
      <c r="F56" s="16">
        <v>217</v>
      </c>
      <c r="G56" s="16">
        <f t="shared" si="31"/>
        <v>176.19886010362694</v>
      </c>
      <c r="H56" s="16">
        <f t="shared" si="32"/>
        <v>192.80193005181349</v>
      </c>
      <c r="I56" s="16">
        <f t="shared" ref="I56:I63" si="37">SUM(F56*0.965)</f>
        <v>209.405</v>
      </c>
      <c r="J56" s="45">
        <f t="shared" si="33"/>
        <v>43.405000000000001</v>
      </c>
      <c r="K56" s="16">
        <v>464</v>
      </c>
      <c r="L56" s="16">
        <f t="shared" si="34"/>
        <v>485.13973652642483</v>
      </c>
      <c r="M56" s="16">
        <f t="shared" si="34"/>
        <v>528.60600718728551</v>
      </c>
      <c r="N56" s="16">
        <f t="shared" si="34"/>
        <v>569.51141262054784</v>
      </c>
      <c r="O56" s="45">
        <f t="shared" si="35"/>
        <v>105.51141262054784</v>
      </c>
      <c r="P56" s="16">
        <v>97.872311827957006</v>
      </c>
      <c r="Q56" s="16">
        <f>SUM('[1]2013 Employment'!AM56)-'[1]2013 Employment'!O56 +P56</f>
        <v>108</v>
      </c>
      <c r="R56" s="16">
        <f>SUM('[1]2013 Employment'!BK56-'[1]2013 Employment'!AM56) + Q56</f>
        <v>114.625</v>
      </c>
      <c r="S56" s="16">
        <f>SUM('[1]2013 Employment'!CI56-'[1]2013 Employment'!BK56) +R56</f>
        <v>121.25</v>
      </c>
      <c r="T56" s="45">
        <f t="shared" si="36"/>
        <v>23.377688172042994</v>
      </c>
      <c r="U56" s="17">
        <v>47</v>
      </c>
      <c r="W56" s="13">
        <v>2.7951807228915664</v>
      </c>
      <c r="X56" s="13">
        <v>2.7533647847727396</v>
      </c>
      <c r="Y56" s="13">
        <v>2.7417049561963838</v>
      </c>
      <c r="Z56" s="13">
        <v>2.7196648247202684</v>
      </c>
    </row>
    <row r="57" spans="1:26">
      <c r="A57" s="14" t="s">
        <v>57</v>
      </c>
      <c r="B57" s="15" t="s">
        <v>3</v>
      </c>
      <c r="C57" s="16">
        <v>169</v>
      </c>
      <c r="D57" s="16">
        <v>178.72394988800986</v>
      </c>
      <c r="E57" s="16">
        <v>188.59523235008044</v>
      </c>
      <c r="F57" s="16">
        <v>198.46651481215105</v>
      </c>
      <c r="G57" s="16">
        <f t="shared" si="31"/>
        <v>172.24173408896286</v>
      </c>
      <c r="H57" s="16">
        <f t="shared" si="32"/>
        <v>181.88096044134431</v>
      </c>
      <c r="I57" s="16">
        <f t="shared" si="37"/>
        <v>191.52018679372574</v>
      </c>
      <c r="J57" s="45">
        <f t="shared" si="33"/>
        <v>22.520186793725742</v>
      </c>
      <c r="K57" s="16">
        <v>440</v>
      </c>
      <c r="L57" s="16">
        <f t="shared" si="34"/>
        <v>445.97883892001164</v>
      </c>
      <c r="M57" s="16">
        <f t="shared" si="34"/>
        <v>471.20072415549237</v>
      </c>
      <c r="N57" s="16">
        <f t="shared" si="34"/>
        <v>494.9448981055624</v>
      </c>
      <c r="O57" s="45">
        <f t="shared" si="35"/>
        <v>54.944898105562402</v>
      </c>
      <c r="P57" s="16">
        <v>23.140868817204304</v>
      </c>
      <c r="Q57" s="16">
        <f>SUM('[1]2013 Employment'!AM57)-'[1]2013 Employment'!O57 +P57</f>
        <v>153.80538494623656</v>
      </c>
      <c r="R57" s="16">
        <f>SUM('[1]2013 Employment'!BK57-'[1]2013 Employment'!AM57) + Q57</f>
        <v>174.69538494623657</v>
      </c>
      <c r="S57" s="16">
        <f>SUM('[1]2013 Employment'!CI57-'[1]2013 Employment'!BK57) +R57</f>
        <v>203.10538494623654</v>
      </c>
      <c r="T57" s="45">
        <f t="shared" si="36"/>
        <v>179.96451612903223</v>
      </c>
      <c r="U57" s="17"/>
      <c r="W57" s="13">
        <v>2.6035502958579881</v>
      </c>
      <c r="X57" s="13">
        <v>2.5892611989708811</v>
      </c>
      <c r="Y57" s="13">
        <v>2.5907094564054285</v>
      </c>
      <c r="Z57" s="13">
        <v>2.5842962373393892</v>
      </c>
    </row>
    <row r="58" spans="1:26">
      <c r="A58" s="14" t="s">
        <v>58</v>
      </c>
      <c r="B58" s="15" t="s">
        <v>3</v>
      </c>
      <c r="C58" s="16">
        <v>104</v>
      </c>
      <c r="D58" s="16">
        <v>117.77203421420609</v>
      </c>
      <c r="E58" s="16">
        <v>131.75273561347592</v>
      </c>
      <c r="F58" s="16">
        <v>145.73343701274572</v>
      </c>
      <c r="G58" s="16">
        <f t="shared" si="31"/>
        <v>113.50050965721417</v>
      </c>
      <c r="H58" s="16">
        <f t="shared" si="32"/>
        <v>127.0666381872569</v>
      </c>
      <c r="I58" s="16">
        <f t="shared" si="37"/>
        <v>140.63276671729963</v>
      </c>
      <c r="J58" s="45">
        <f t="shared" si="33"/>
        <v>36.632766717299631</v>
      </c>
      <c r="K58" s="16">
        <v>288</v>
      </c>
      <c r="L58" s="16">
        <f t="shared" si="34"/>
        <v>308.62433596832022</v>
      </c>
      <c r="M58" s="16">
        <f t="shared" si="34"/>
        <v>344.13440701029305</v>
      </c>
      <c r="N58" s="16">
        <f t="shared" si="34"/>
        <v>377.54950803553817</v>
      </c>
      <c r="O58" s="45">
        <f t="shared" si="35"/>
        <v>89.549508035538167</v>
      </c>
      <c r="P58" s="16">
        <v>85.365493827160506</v>
      </c>
      <c r="Q58" s="16">
        <f>SUM('[1]2013 Employment'!AM58)-'[1]2013 Employment'!O58 +P58</f>
        <v>89.999999999999986</v>
      </c>
      <c r="R58" s="16">
        <f>SUM('[1]2013 Employment'!BK58-'[1]2013 Employment'!AM58) + Q58</f>
        <v>100.86999999999999</v>
      </c>
      <c r="S58" s="16">
        <f>SUM('[1]2013 Employment'!CI58-'[1]2013 Employment'!BK58) +R58</f>
        <v>116.39999999999998</v>
      </c>
      <c r="T58" s="45">
        <f t="shared" si="36"/>
        <v>31.034506172839471</v>
      </c>
      <c r="U58" s="17">
        <v>41</v>
      </c>
      <c r="W58" s="13">
        <v>2.7692307692307692</v>
      </c>
      <c r="X58" s="13">
        <v>2.7191449351232393</v>
      </c>
      <c r="Y58" s="13">
        <v>2.7082986684761852</v>
      </c>
      <c r="Z58" s="13">
        <v>2.6846482284920783</v>
      </c>
    </row>
    <row r="59" spans="1:26">
      <c r="A59" s="23" t="s">
        <v>59</v>
      </c>
      <c r="B59" s="24" t="s">
        <v>3</v>
      </c>
      <c r="C59" s="16">
        <v>271</v>
      </c>
      <c r="D59" s="16">
        <v>274.3</v>
      </c>
      <c r="E59" s="16">
        <v>277.64999999999998</v>
      </c>
      <c r="F59" s="16">
        <v>281</v>
      </c>
      <c r="G59" s="16">
        <f t="shared" si="31"/>
        <v>264.35129533678753</v>
      </c>
      <c r="H59" s="16">
        <f t="shared" si="32"/>
        <v>267.75814766839375</v>
      </c>
      <c r="I59" s="16">
        <f t="shared" si="37"/>
        <v>271.16499999999996</v>
      </c>
      <c r="J59" s="45">
        <f t="shared" si="33"/>
        <v>0.16499999999996362</v>
      </c>
      <c r="K59" s="16">
        <v>769</v>
      </c>
      <c r="L59" s="16">
        <f t="shared" si="34"/>
        <v>748.55366163730571</v>
      </c>
      <c r="M59" s="16">
        <f t="shared" si="34"/>
        <v>757.50699480653361</v>
      </c>
      <c r="N59" s="16">
        <f t="shared" si="34"/>
        <v>765.95782600402879</v>
      </c>
      <c r="O59" s="45">
        <f t="shared" si="35"/>
        <v>-3.0421739959712113</v>
      </c>
      <c r="P59" s="16">
        <v>124.00617724836211</v>
      </c>
      <c r="Q59" s="16">
        <f>SUM('[1]2013 Employment'!AM59)-'[1]2013 Employment'!O59 +P59</f>
        <v>173.86866086956522</v>
      </c>
      <c r="R59" s="16">
        <f>SUM('[1]2013 Employment'!BK59-'[1]2013 Employment'!AM59) + Q59</f>
        <v>194.92866086956522</v>
      </c>
      <c r="S59" s="16">
        <f>SUM('[1]2013 Employment'!CI59-'[1]2013 Employment'!BK59) +R59</f>
        <v>204.46866086956521</v>
      </c>
      <c r="T59" s="45">
        <f t="shared" si="36"/>
        <v>80.462483621203106</v>
      </c>
      <c r="U59" s="17"/>
      <c r="W59" s="13">
        <v>2.8376383763837638</v>
      </c>
      <c r="X59" s="13">
        <v>2.8316625446591326</v>
      </c>
      <c r="Y59" s="13">
        <v>2.829071688024491</v>
      </c>
      <c r="Z59" s="13">
        <v>2.8246928106651996</v>
      </c>
    </row>
    <row r="60" spans="1:26">
      <c r="A60" s="14" t="s">
        <v>60</v>
      </c>
      <c r="B60" s="15" t="s">
        <v>3</v>
      </c>
      <c r="C60" s="16">
        <v>114</v>
      </c>
      <c r="D60" s="16">
        <v>117.3</v>
      </c>
      <c r="E60" s="16">
        <v>120.65</v>
      </c>
      <c r="F60" s="16">
        <v>124</v>
      </c>
      <c r="G60" s="16">
        <f t="shared" si="31"/>
        <v>113.04559585492227</v>
      </c>
      <c r="H60" s="16">
        <f t="shared" si="32"/>
        <v>116.35279792746113</v>
      </c>
      <c r="I60" s="16">
        <f t="shared" si="37"/>
        <v>119.66</v>
      </c>
      <c r="J60" s="45">
        <f t="shared" si="33"/>
        <v>5.6599999999999966</v>
      </c>
      <c r="K60" s="16">
        <v>311</v>
      </c>
      <c r="L60" s="16">
        <f t="shared" si="34"/>
        <v>307.1650606010362</v>
      </c>
      <c r="M60" s="16">
        <f t="shared" si="34"/>
        <v>315.82745045184674</v>
      </c>
      <c r="N60" s="16">
        <f t="shared" si="34"/>
        <v>323.98782600402893</v>
      </c>
      <c r="O60" s="45">
        <f t="shared" si="35"/>
        <v>12.987826004028932</v>
      </c>
      <c r="P60" s="16">
        <v>68.001560386256457</v>
      </c>
      <c r="Q60" s="16">
        <f>SUM('[1]2013 Employment'!AM60)-'[1]2013 Employment'!O60 +P60</f>
        <v>73.101652459016407</v>
      </c>
      <c r="R60" s="16">
        <f>SUM('[1]2013 Employment'!BK60-'[1]2013 Employment'!AM60) + Q60</f>
        <v>78.961652459016406</v>
      </c>
      <c r="S60" s="16">
        <f>SUM('[1]2013 Employment'!CI60-'[1]2013 Employment'!BK60) +R60</f>
        <v>83.201652459016401</v>
      </c>
      <c r="T60" s="45">
        <f t="shared" si="36"/>
        <v>15.200092072759944</v>
      </c>
      <c r="U60" s="17"/>
      <c r="W60" s="13">
        <v>2.7280701754385963</v>
      </c>
      <c r="X60" s="13">
        <v>2.717178482523444</v>
      </c>
      <c r="Y60" s="13">
        <v>2.7143949786987149</v>
      </c>
      <c r="Z60" s="13">
        <v>2.7075699983622674</v>
      </c>
    </row>
    <row r="61" spans="1:26">
      <c r="A61" s="14" t="s">
        <v>61</v>
      </c>
      <c r="B61" s="15" t="s">
        <v>3</v>
      </c>
      <c r="C61" s="16">
        <v>199</v>
      </c>
      <c r="D61" s="16">
        <v>205.74935600213988</v>
      </c>
      <c r="E61" s="16">
        <v>212.60097497400915</v>
      </c>
      <c r="F61" s="16">
        <v>219.45259394587845</v>
      </c>
      <c r="G61" s="16">
        <f>SUM(((I61-F61)/I61) *D61) +D61 +3</f>
        <v>201.2869441264146</v>
      </c>
      <c r="H61" s="16">
        <f t="shared" si="32"/>
        <v>206.52934864209365</v>
      </c>
      <c r="I61" s="16">
        <f t="shared" si="37"/>
        <v>211.77175315777271</v>
      </c>
      <c r="J61" s="45">
        <f t="shared" si="33"/>
        <v>12.771753157772707</v>
      </c>
      <c r="K61" s="16">
        <v>604</v>
      </c>
      <c r="L61" s="16">
        <f t="shared" si="34"/>
        <v>606.35712549123662</v>
      </c>
      <c r="M61" s="16">
        <f t="shared" si="34"/>
        <v>619.51712124421988</v>
      </c>
      <c r="N61" s="16">
        <f t="shared" si="34"/>
        <v>631.68612166010121</v>
      </c>
      <c r="O61" s="45">
        <f t="shared" si="35"/>
        <v>27.686121660101207</v>
      </c>
      <c r="P61" s="16">
        <v>36.391913513513515</v>
      </c>
      <c r="Q61" s="16">
        <f>SUM('[1]2013 Employment'!AM61)-'[1]2013 Employment'!O61 +P61</f>
        <v>41.238399999999999</v>
      </c>
      <c r="R61" s="16">
        <f>SUM('[1]2013 Employment'!BK61-'[1]2013 Employment'!AM61) + Q61</f>
        <v>46.503399999999999</v>
      </c>
      <c r="S61" s="16">
        <f>SUM('[1]2013 Employment'!CI61-'[1]2013 Employment'!BK61) +R61</f>
        <v>48.888399999999997</v>
      </c>
      <c r="T61" s="45">
        <f t="shared" si="36"/>
        <v>12.496486486486482</v>
      </c>
      <c r="U61" s="17"/>
      <c r="W61" s="13">
        <v>3.0351758793969847</v>
      </c>
      <c r="X61" s="13">
        <v>3.012401664314726</v>
      </c>
      <c r="Y61" s="13">
        <v>2.9996565878770869</v>
      </c>
      <c r="Z61" s="13">
        <v>2.9828629750705553</v>
      </c>
    </row>
    <row r="62" spans="1:26">
      <c r="A62" s="14" t="s">
        <v>62</v>
      </c>
      <c r="B62" s="15" t="s">
        <v>3</v>
      </c>
      <c r="C62" s="16">
        <v>67</v>
      </c>
      <c r="D62" s="16">
        <v>73.350929864927181</v>
      </c>
      <c r="E62" s="16">
        <v>79.79808593992901</v>
      </c>
      <c r="F62" s="16">
        <v>86.245242014930838</v>
      </c>
      <c r="G62" s="16">
        <f t="shared" si="31"/>
        <v>70.690533444955719</v>
      </c>
      <c r="H62" s="16">
        <f t="shared" si="32"/>
        <v>76.958595994681986</v>
      </c>
      <c r="I62" s="16">
        <f t="shared" si="37"/>
        <v>83.226658544408252</v>
      </c>
      <c r="J62" s="45">
        <f t="shared" si="33"/>
        <v>16.226658544408252</v>
      </c>
      <c r="K62" s="16">
        <v>180</v>
      </c>
      <c r="L62" s="16">
        <f t="shared" si="34"/>
        <v>187.79930303383099</v>
      </c>
      <c r="M62" s="16">
        <f t="shared" si="34"/>
        <v>204.20438708413494</v>
      </c>
      <c r="N62" s="16">
        <f t="shared" si="34"/>
        <v>219.6438314027871</v>
      </c>
      <c r="O62" s="45">
        <f t="shared" si="35"/>
        <v>39.6438314027871</v>
      </c>
      <c r="P62" s="16">
        <v>9.3455462365591391</v>
      </c>
      <c r="Q62" s="16">
        <f>SUM('[1]2013 Employment'!AM62)-'[1]2013 Employment'!O62 +P62</f>
        <v>9.4017290322580642</v>
      </c>
      <c r="R62" s="16">
        <f>SUM('[1]2013 Employment'!BK62-'[1]2013 Employment'!AM62) + Q62</f>
        <v>9.4867290322580651</v>
      </c>
      <c r="S62" s="16">
        <f>SUM('[1]2013 Employment'!CI62-'[1]2013 Employment'!BK62) +R62</f>
        <v>9.7517290322580656</v>
      </c>
      <c r="T62" s="45">
        <f t="shared" si="36"/>
        <v>0.40618279569892657</v>
      </c>
      <c r="U62" s="17"/>
      <c r="W62" s="13">
        <v>2.6865671641791047</v>
      </c>
      <c r="X62" s="13">
        <v>2.6566400602997833</v>
      </c>
      <c r="Y62" s="13">
        <v>2.6534318154432799</v>
      </c>
      <c r="Z62" s="13">
        <v>2.63910428754735</v>
      </c>
    </row>
    <row r="63" spans="1:26">
      <c r="A63" s="14" t="s">
        <v>63</v>
      </c>
      <c r="B63" s="15" t="s">
        <v>3</v>
      </c>
      <c r="C63" s="16">
        <v>116</v>
      </c>
      <c r="D63" s="16">
        <v>122.90229455773705</v>
      </c>
      <c r="E63" s="16">
        <v>129.90916933604586</v>
      </c>
      <c r="F63" s="16">
        <v>136.91604411435469</v>
      </c>
      <c r="G63" s="16">
        <f t="shared" si="31"/>
        <v>118.44469838206783</v>
      </c>
      <c r="H63" s="16">
        <f t="shared" si="32"/>
        <v>125.28434047621005</v>
      </c>
      <c r="I63" s="16">
        <f t="shared" si="37"/>
        <v>132.12398257035227</v>
      </c>
      <c r="J63" s="45">
        <f t="shared" si="33"/>
        <v>16.123982570352268</v>
      </c>
      <c r="K63" s="16">
        <v>382</v>
      </c>
      <c r="L63" s="16">
        <f t="shared" si="34"/>
        <v>383.71676582359686</v>
      </c>
      <c r="M63" s="16">
        <f t="shared" si="34"/>
        <v>401.66683119897817</v>
      </c>
      <c r="N63" s="16">
        <f t="shared" si="34"/>
        <v>418.56250818345831</v>
      </c>
      <c r="O63" s="45">
        <f t="shared" si="35"/>
        <v>36.562508183458306</v>
      </c>
      <c r="P63" s="16">
        <v>193.68802631578947</v>
      </c>
      <c r="Q63" s="16">
        <f>SUM('[1]2013 Employment'!AM63)-'[1]2013 Employment'!O63 +P63</f>
        <v>212.01777777777778</v>
      </c>
      <c r="R63" s="16">
        <f>SUM('[1]2013 Employment'!BK63-'[1]2013 Employment'!AM63) + Q63</f>
        <v>220.3427777777778</v>
      </c>
      <c r="S63" s="16">
        <f>SUM('[1]2013 Employment'!CI63-'[1]2013 Employment'!BK63) +R63</f>
        <v>232.26777777777778</v>
      </c>
      <c r="T63" s="45">
        <f t="shared" si="36"/>
        <v>38.579751461988309</v>
      </c>
      <c r="U63" s="17"/>
      <c r="W63" s="13">
        <v>3.2931034482758621</v>
      </c>
      <c r="X63" s="13">
        <v>3.2396280379374955</v>
      </c>
      <c r="Y63" s="13">
        <v>3.2060417899972884</v>
      </c>
      <c r="Z63" s="13">
        <v>3.1679525551735899</v>
      </c>
    </row>
    <row r="64" spans="1:26" ht="13.5" thickBot="1">
      <c r="A64" s="1"/>
      <c r="B64" s="2" t="s">
        <v>10</v>
      </c>
      <c r="C64" s="10">
        <f t="shared" ref="C64:I64" si="38">SUM(C51:C63)</f>
        <v>3070</v>
      </c>
      <c r="D64" s="10">
        <f t="shared" si="38"/>
        <v>3442.5713995036776</v>
      </c>
      <c r="E64" s="10">
        <f t="shared" si="38"/>
        <v>3820.7878202119559</v>
      </c>
      <c r="F64" s="10">
        <f t="shared" si="38"/>
        <v>4199.0042409202333</v>
      </c>
      <c r="G64" s="10">
        <f t="shared" si="38"/>
        <v>3362.9624134326841</v>
      </c>
      <c r="H64" s="10">
        <f t="shared" si="38"/>
        <v>3718.0007529603558</v>
      </c>
      <c r="I64" s="10">
        <f t="shared" si="38"/>
        <v>4073.0390924880253</v>
      </c>
      <c r="J64" s="10">
        <f>SUM(J51:J63)</f>
        <v>1003.0390924880255</v>
      </c>
      <c r="K64" s="3">
        <f>SUM(K51:K63)</f>
        <v>8613</v>
      </c>
      <c r="L64" s="3">
        <f t="shared" ref="L64:O64" si="39">SUM(L51:L63)</f>
        <v>9255.2703381289957</v>
      </c>
      <c r="M64" s="3">
        <f t="shared" si="39"/>
        <v>10149.469381721685</v>
      </c>
      <c r="N64" s="3">
        <f t="shared" si="39"/>
        <v>10989.237010903535</v>
      </c>
      <c r="O64" s="3">
        <f t="shared" si="39"/>
        <v>2376.2370109035342</v>
      </c>
      <c r="P64" s="3">
        <v>1249.4880115743281</v>
      </c>
      <c r="Q64" s="3">
        <f t="shared" ref="Q64:T64" si="40">SUM(Q51:Q63)</f>
        <v>1595.7362638396473</v>
      </c>
      <c r="R64" s="3">
        <f t="shared" si="40"/>
        <v>1724.9962638396476</v>
      </c>
      <c r="S64" s="3">
        <f t="shared" si="40"/>
        <v>1877.5362638396475</v>
      </c>
      <c r="T64" s="3">
        <f t="shared" si="40"/>
        <v>628.04825226531909</v>
      </c>
      <c r="U64" s="3"/>
      <c r="W64" s="13">
        <v>2.8055374592833875</v>
      </c>
      <c r="X64" s="13">
        <v>2.7514411659403208</v>
      </c>
      <c r="Y64" s="13">
        <v>2.7294517776499934</v>
      </c>
      <c r="Z64" s="13">
        <v>2.6979157881643729</v>
      </c>
    </row>
    <row r="65" spans="1:28" s="22" customFormat="1" ht="14.25" thickTop="1" thickBot="1">
      <c r="A65" s="18"/>
      <c r="B65" s="19"/>
      <c r="C65" s="21"/>
      <c r="D65" s="21"/>
      <c r="E65" s="21"/>
      <c r="F65" s="21">
        <v>4072.9135999999999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0"/>
      <c r="W65" s="13"/>
      <c r="X65" s="13"/>
      <c r="Y65" s="13"/>
      <c r="Z65" s="13"/>
    </row>
    <row r="66" spans="1:28" ht="36" customHeight="1" thickTop="1">
      <c r="A66" s="5" t="s">
        <v>0</v>
      </c>
      <c r="B66" s="4" t="s">
        <v>11</v>
      </c>
      <c r="C66" s="4" t="s">
        <v>134</v>
      </c>
      <c r="D66" s="4" t="s">
        <v>103</v>
      </c>
      <c r="E66" s="4" t="s">
        <v>104</v>
      </c>
      <c r="F66" s="4" t="s">
        <v>105</v>
      </c>
      <c r="G66" s="4" t="s">
        <v>137</v>
      </c>
      <c r="H66" s="4" t="s">
        <v>136</v>
      </c>
      <c r="I66" s="4" t="s">
        <v>135</v>
      </c>
      <c r="J66" s="12" t="s">
        <v>102</v>
      </c>
      <c r="K66" s="4" t="s">
        <v>130</v>
      </c>
      <c r="L66" s="4" t="s">
        <v>131</v>
      </c>
      <c r="M66" s="4" t="s">
        <v>132</v>
      </c>
      <c r="N66" s="4" t="s">
        <v>133</v>
      </c>
      <c r="O66" s="12" t="s">
        <v>138</v>
      </c>
      <c r="P66" s="4" t="s">
        <v>127</v>
      </c>
      <c r="Q66" s="4" t="s">
        <v>126</v>
      </c>
      <c r="R66" s="4" t="s">
        <v>128</v>
      </c>
      <c r="S66" s="4" t="s">
        <v>129</v>
      </c>
      <c r="T66" s="12" t="s">
        <v>139</v>
      </c>
      <c r="U66" s="4" t="s">
        <v>101</v>
      </c>
    </row>
    <row r="67" spans="1:28">
      <c r="A67" s="14" t="s">
        <v>64</v>
      </c>
      <c r="B67" s="15" t="s">
        <v>2</v>
      </c>
      <c r="C67" s="16">
        <v>948</v>
      </c>
      <c r="D67" s="16">
        <v>1000.47</v>
      </c>
      <c r="E67" s="16">
        <v>1053.7350000000001</v>
      </c>
      <c r="F67" s="16">
        <v>1107</v>
      </c>
      <c r="G67" s="16">
        <f>SUM(((I67-F67)/I67) *D67) +D67 +12</f>
        <v>948.61021276595739</v>
      </c>
      <c r="H67" s="16">
        <f t="shared" ref="H67:H83" si="41">SUM(I67-G67)/2 +G67</f>
        <v>994.59510638297866</v>
      </c>
      <c r="I67" s="16">
        <f>SUM(F67*0.94)</f>
        <v>1040.58</v>
      </c>
      <c r="J67" s="45">
        <f t="shared" ref="J67:J83" si="42">SUM(I67-C67)</f>
        <v>92.579999999999927</v>
      </c>
      <c r="K67" s="16">
        <v>2743</v>
      </c>
      <c r="L67" s="16">
        <f t="shared" ref="L67:N82" si="43">SUM(G67*X67)</f>
        <v>2719.5014862135677</v>
      </c>
      <c r="M67" s="16">
        <f t="shared" si="43"/>
        <v>2812.9373377072106</v>
      </c>
      <c r="N67" s="16">
        <f t="shared" si="43"/>
        <v>2955.2277557204379</v>
      </c>
      <c r="O67" s="45">
        <f t="shared" ref="O67:O83" si="44">SUM(N67-K67)</f>
        <v>212.22775572043793</v>
      </c>
      <c r="P67" s="16">
        <v>143.5197963800905</v>
      </c>
      <c r="Q67" s="16">
        <f>SUM('[1]2013 Employment'!AM67)-'[1]2013 Employment'!O67 +P67</f>
        <v>166.49366515837102</v>
      </c>
      <c r="R67" s="16">
        <f>SUM('[1]2013 Employment'!BK67-'[1]2013 Employment'!AM67) + Q67</f>
        <v>195.78866515837103</v>
      </c>
      <c r="S67" s="16">
        <f>SUM('[1]2013 Employment'!CI67-'[1]2013 Employment'!BK67) +R67</f>
        <v>205.57366515837103</v>
      </c>
      <c r="T67" s="45">
        <f t="shared" ref="T67:T83" si="45">SUM(S67-P67)</f>
        <v>62.053868778280531</v>
      </c>
      <c r="U67" s="17">
        <v>105</v>
      </c>
      <c r="W67" s="13">
        <v>2.8934599156118144</v>
      </c>
      <c r="X67" s="13">
        <v>2.8668271220526353</v>
      </c>
      <c r="Y67" s="13">
        <v>2.8282235853109672</v>
      </c>
      <c r="Z67" s="13">
        <v>2.8399813139983836</v>
      </c>
      <c r="AB67" s="13">
        <f>SUM(Y67*0.994)</f>
        <v>2.8112542437991013</v>
      </c>
    </row>
    <row r="68" spans="1:28">
      <c r="A68" s="14" t="s">
        <v>65</v>
      </c>
      <c r="B68" s="15" t="s">
        <v>2</v>
      </c>
      <c r="C68" s="16">
        <v>297</v>
      </c>
      <c r="D68" s="16">
        <v>331.98</v>
      </c>
      <c r="E68" s="16">
        <v>367.49</v>
      </c>
      <c r="F68" s="16">
        <v>403</v>
      </c>
      <c r="G68" s="16">
        <f t="shared" ref="G68:G83" si="46">SUM(((I68-F68)/I68) *D68) +D68</f>
        <v>296.2288692210434</v>
      </c>
      <c r="H68" s="16">
        <f t="shared" si="41"/>
        <v>330.02443461052167</v>
      </c>
      <c r="I68" s="16">
        <f>SUM(F68*0.94)-15</f>
        <v>363.82</v>
      </c>
      <c r="J68" s="45">
        <f t="shared" si="42"/>
        <v>66.819999999999993</v>
      </c>
      <c r="K68" s="16">
        <v>887</v>
      </c>
      <c r="L68" s="16">
        <f t="shared" si="43"/>
        <v>865.94136235668191</v>
      </c>
      <c r="M68" s="16">
        <f t="shared" si="43"/>
        <v>947.01735683565323</v>
      </c>
      <c r="N68" s="16">
        <f t="shared" si="43"/>
        <v>1042.0234008873335</v>
      </c>
      <c r="O68" s="45">
        <f t="shared" si="44"/>
        <v>155.02340088733354</v>
      </c>
      <c r="P68" s="16">
        <v>23.427537599804324</v>
      </c>
      <c r="Q68" s="16">
        <f>SUM('[1]2013 Employment'!AM68)-'[1]2013 Employment'!O68 +P68</f>
        <v>27.3</v>
      </c>
      <c r="R68" s="16">
        <f>SUM('[1]2013 Employment'!BK68-'[1]2013 Employment'!AM68) + Q68</f>
        <v>27.614999999999998</v>
      </c>
      <c r="S68" s="16">
        <f>SUM('[1]2013 Employment'!CI68-'[1]2013 Employment'!BK68) +R68</f>
        <v>29.16</v>
      </c>
      <c r="T68" s="45">
        <f t="shared" si="45"/>
        <v>5.7324624001956757</v>
      </c>
      <c r="U68" s="17">
        <v>15</v>
      </c>
      <c r="W68" s="13">
        <v>2.9865319865319866</v>
      </c>
      <c r="X68" s="13">
        <v>2.9232173239351766</v>
      </c>
      <c r="Y68" s="13">
        <v>2.8695370933769668</v>
      </c>
      <c r="Z68" s="13">
        <v>2.864117972863871</v>
      </c>
      <c r="AB68" s="13">
        <f t="shared" ref="AB68:AB84" si="47">SUM(Y68*0.994)</f>
        <v>2.852319870816705</v>
      </c>
    </row>
    <row r="69" spans="1:28">
      <c r="A69" s="14" t="s">
        <v>66</v>
      </c>
      <c r="B69" s="15" t="s">
        <v>2</v>
      </c>
      <c r="C69" s="16">
        <v>374</v>
      </c>
      <c r="D69" s="16">
        <v>407</v>
      </c>
      <c r="E69" s="16">
        <v>440.5</v>
      </c>
      <c r="F69" s="16">
        <v>474</v>
      </c>
      <c r="G69" s="16">
        <f t="shared" si="46"/>
        <v>381.02127659574467</v>
      </c>
      <c r="H69" s="16">
        <f t="shared" si="41"/>
        <v>413.29063829787231</v>
      </c>
      <c r="I69" s="16">
        <f>SUM(F69*0.94)</f>
        <v>445.56</v>
      </c>
      <c r="J69" s="45">
        <f t="shared" si="42"/>
        <v>71.56</v>
      </c>
      <c r="K69" s="16">
        <v>903</v>
      </c>
      <c r="L69" s="16">
        <f t="shared" si="43"/>
        <v>919.06275063829787</v>
      </c>
      <c r="M69" s="16">
        <f t="shared" si="43"/>
        <v>994.88400067931457</v>
      </c>
      <c r="N69" s="16">
        <f t="shared" si="43"/>
        <v>1085.8060098870681</v>
      </c>
      <c r="O69" s="45">
        <f t="shared" si="44"/>
        <v>182.80600988706806</v>
      </c>
      <c r="P69" s="16">
        <v>108.19208403878712</v>
      </c>
      <c r="Q69" s="16">
        <f>SUM('[1]2013 Employment'!AM69)-'[1]2013 Employment'!O69 +P69</f>
        <v>145.6</v>
      </c>
      <c r="R69" s="16">
        <f>SUM('[1]2013 Employment'!BK69-'[1]2013 Employment'!AM69) + Q69</f>
        <v>174.89500000000001</v>
      </c>
      <c r="S69" s="16">
        <f>SUM('[1]2013 Employment'!CI69-'[1]2013 Employment'!BK69) +R69</f>
        <v>184.68</v>
      </c>
      <c r="T69" s="45">
        <f t="shared" si="45"/>
        <v>76.487915961212892</v>
      </c>
      <c r="U69" s="17" t="s">
        <v>115</v>
      </c>
      <c r="W69" s="13">
        <v>2.4144385026737969</v>
      </c>
      <c r="X69" s="13">
        <v>2.4121034889434889</v>
      </c>
      <c r="Y69" s="13">
        <v>2.4072260740691362</v>
      </c>
      <c r="Z69" s="13">
        <v>2.436946785813511</v>
      </c>
      <c r="AB69" s="13">
        <f t="shared" si="47"/>
        <v>2.3927827176247214</v>
      </c>
    </row>
    <row r="70" spans="1:28">
      <c r="A70" s="14" t="s">
        <v>67</v>
      </c>
      <c r="B70" s="15" t="s">
        <v>2</v>
      </c>
      <c r="C70" s="16">
        <v>586</v>
      </c>
      <c r="D70" s="16">
        <v>685</v>
      </c>
      <c r="E70" s="16">
        <v>785.5</v>
      </c>
      <c r="F70" s="16">
        <v>886</v>
      </c>
      <c r="G70" s="16">
        <f>SUM(((I70-F70)/I70) *D70) +D70 +47</f>
        <v>588.83832760220503</v>
      </c>
      <c r="H70" s="16">
        <f t="shared" si="41"/>
        <v>660.83916380110247</v>
      </c>
      <c r="I70" s="16">
        <f>SUM(F70*0.94) -100</f>
        <v>732.83999999999992</v>
      </c>
      <c r="J70" s="45">
        <f t="shared" si="42"/>
        <v>146.83999999999992</v>
      </c>
      <c r="K70" s="16">
        <v>1579</v>
      </c>
      <c r="L70" s="16">
        <f t="shared" si="43"/>
        <v>1560.3599851125741</v>
      </c>
      <c r="M70" s="16">
        <f t="shared" si="43"/>
        <v>1735.1105287615835</v>
      </c>
      <c r="N70" s="16">
        <f t="shared" si="43"/>
        <v>1931.6358254369579</v>
      </c>
      <c r="O70" s="45">
        <f t="shared" si="44"/>
        <v>352.63582543695793</v>
      </c>
      <c r="P70" s="16">
        <v>427.50268931942372</v>
      </c>
      <c r="Q70" s="16">
        <f>SUM('[1]2013 Employment'!AM70)-'[1]2013 Employment'!O70 +P70</f>
        <v>542.06775141579726</v>
      </c>
      <c r="R70" s="16">
        <f>SUM('[1]2013 Employment'!BK70-'[1]2013 Employment'!AM70) + Q70</f>
        <v>616.82775141579737</v>
      </c>
      <c r="S70" s="16">
        <f>SUM('[1]2013 Employment'!CI70-'[1]2013 Employment'!BK70) +R70</f>
        <v>648.75775141579732</v>
      </c>
      <c r="T70" s="45">
        <f t="shared" si="45"/>
        <v>221.25506209637359</v>
      </c>
      <c r="U70" s="17" t="s">
        <v>116</v>
      </c>
      <c r="W70" s="13">
        <v>2.6945392491467577</v>
      </c>
      <c r="X70" s="13">
        <v>2.6498954160583943</v>
      </c>
      <c r="Y70" s="13">
        <v>2.6256169788445107</v>
      </c>
      <c r="Z70" s="13">
        <v>2.6358220422424514</v>
      </c>
      <c r="AB70" s="13">
        <f t="shared" si="47"/>
        <v>2.6098632769714438</v>
      </c>
    </row>
    <row r="71" spans="1:28">
      <c r="A71" s="14" t="s">
        <v>68</v>
      </c>
      <c r="B71" s="15" t="s">
        <v>2</v>
      </c>
      <c r="C71" s="16">
        <v>1078</v>
      </c>
      <c r="D71" s="16">
        <v>1222.8699999999999</v>
      </c>
      <c r="E71" s="16">
        <v>1369.9349999999999</v>
      </c>
      <c r="F71" s="16">
        <v>1517</v>
      </c>
      <c r="G71" s="16">
        <f t="shared" si="46"/>
        <v>991.88195363563682</v>
      </c>
      <c r="H71" s="16">
        <f t="shared" si="41"/>
        <v>1133.9309768178184</v>
      </c>
      <c r="I71" s="16">
        <f>SUM(F71*0.94)-150</f>
        <v>1275.98</v>
      </c>
      <c r="J71" s="45">
        <f t="shared" si="42"/>
        <v>197.98000000000002</v>
      </c>
      <c r="K71" s="16">
        <v>2923</v>
      </c>
      <c r="L71" s="16">
        <f t="shared" si="43"/>
        <v>2651.2000116234799</v>
      </c>
      <c r="M71" s="16">
        <f t="shared" si="43"/>
        <v>2999.9264859721634</v>
      </c>
      <c r="N71" s="16">
        <f t="shared" si="43"/>
        <v>3389.5269727851201</v>
      </c>
      <c r="O71" s="45">
        <f t="shared" si="44"/>
        <v>466.52697278512005</v>
      </c>
      <c r="P71" s="16">
        <v>964.51243098412897</v>
      </c>
      <c r="Q71" s="16">
        <v>1441.9506210758527</v>
      </c>
      <c r="R71" s="16">
        <v>1785.4756210758526</v>
      </c>
      <c r="S71" s="16">
        <v>1915.0606210758526</v>
      </c>
      <c r="T71" s="45">
        <f t="shared" si="45"/>
        <v>950.54819009172365</v>
      </c>
      <c r="U71" s="17">
        <v>179</v>
      </c>
      <c r="W71" s="13">
        <v>2.7115027829313543</v>
      </c>
      <c r="X71" s="13">
        <v>2.6728987274199221</v>
      </c>
      <c r="Y71" s="13">
        <v>2.6455988479924408</v>
      </c>
      <c r="Z71" s="13">
        <v>2.6564107374607127</v>
      </c>
      <c r="AB71" s="13">
        <f t="shared" si="47"/>
        <v>2.6297252549044861</v>
      </c>
    </row>
    <row r="72" spans="1:28">
      <c r="A72" s="23" t="s">
        <v>69</v>
      </c>
      <c r="B72" s="24" t="s">
        <v>2</v>
      </c>
      <c r="C72" s="16">
        <v>323</v>
      </c>
      <c r="D72" s="16">
        <v>632.54</v>
      </c>
      <c r="E72" s="16">
        <v>946.77</v>
      </c>
      <c r="F72" s="16">
        <v>1261</v>
      </c>
      <c r="G72" s="16">
        <f t="shared" si="46"/>
        <v>598.3523640436664</v>
      </c>
      <c r="H72" s="16">
        <f>SUM(I72-G72)/2 +G72 +100</f>
        <v>997.3461820218331</v>
      </c>
      <c r="I72" s="16">
        <f>SUM(F72*0.94) +11</f>
        <v>1196.3399999999999</v>
      </c>
      <c r="J72" s="45">
        <f t="shared" si="42"/>
        <v>873.33999999999992</v>
      </c>
      <c r="K72" s="16">
        <v>874</v>
      </c>
      <c r="L72" s="16">
        <f>SUM(G72*X72) -75</f>
        <v>1473.9175960825582</v>
      </c>
      <c r="M72" s="16">
        <f>SUM(H72*Y72) -125</f>
        <v>2456.6677041500484</v>
      </c>
      <c r="N72" s="16">
        <f t="shared" si="43"/>
        <v>3096.4275679165503</v>
      </c>
      <c r="O72" s="45">
        <f t="shared" si="44"/>
        <v>2222.4275679165503</v>
      </c>
      <c r="P72" s="16">
        <v>171.76740012817771</v>
      </c>
      <c r="Q72" s="16">
        <f>SUM('[1]2013 Employment'!AM72)-'[1]2013 Employment'!O72 +P72</f>
        <v>218.4</v>
      </c>
      <c r="R72" s="16">
        <f>SUM('[1]2013 Employment'!BK72-'[1]2013 Employment'!AM72) + Q72</f>
        <v>257.74</v>
      </c>
      <c r="S72" s="16">
        <f>SUM('[1]2013 Employment'!CI72-'[1]2013 Employment'!BK72) +R72</f>
        <v>272.15999999999997</v>
      </c>
      <c r="T72" s="45">
        <f t="shared" si="45"/>
        <v>100.39259987182226</v>
      </c>
      <c r="U72" s="17" t="s">
        <v>120</v>
      </c>
      <c r="W72" s="13">
        <v>2.7058823529411766</v>
      </c>
      <c r="X72" s="13">
        <v>2.5886378815568976</v>
      </c>
      <c r="Y72" s="13">
        <v>2.5885372107370563</v>
      </c>
      <c r="Z72" s="13">
        <v>2.5882504705322487</v>
      </c>
      <c r="AB72" s="13">
        <f t="shared" si="47"/>
        <v>2.5730059874726341</v>
      </c>
    </row>
    <row r="73" spans="1:28">
      <c r="A73" s="23" t="s">
        <v>70</v>
      </c>
      <c r="B73" s="24" t="s">
        <v>2</v>
      </c>
      <c r="C73" s="16">
        <v>852</v>
      </c>
      <c r="D73" s="16">
        <v>924.91758977771406</v>
      </c>
      <c r="E73" s="16">
        <v>998.93999152175707</v>
      </c>
      <c r="F73" s="16">
        <v>1072.9623932658001</v>
      </c>
      <c r="G73" s="16">
        <f t="shared" si="46"/>
        <v>912.35531810926148</v>
      </c>
      <c r="H73" s="16">
        <f t="shared" si="41"/>
        <v>985.46998388955672</v>
      </c>
      <c r="I73" s="16">
        <f>SUM(F73*0.94)+50</f>
        <v>1058.5846496698518</v>
      </c>
      <c r="J73" s="45">
        <f t="shared" si="42"/>
        <v>206.58464966985184</v>
      </c>
      <c r="K73" s="16">
        <v>1979</v>
      </c>
      <c r="L73" s="16">
        <f>SUM(G73*X73)</f>
        <v>2123.7135870995153</v>
      </c>
      <c r="M73" s="16">
        <f>SUM(H73*Y73)</f>
        <v>2295.5430565428128</v>
      </c>
      <c r="N73" s="16">
        <f t="shared" si="43"/>
        <v>2502.0909150055154</v>
      </c>
      <c r="O73" s="45">
        <f t="shared" si="44"/>
        <v>523.0909150055154</v>
      </c>
      <c r="P73" s="16">
        <v>991.89032258064515</v>
      </c>
      <c r="Q73" s="16">
        <f>SUM('[1]2013 Employment'!AM73)-'[1]2013 Employment'!O73 +P73-325</f>
        <v>1170.8332258064515</v>
      </c>
      <c r="R73" s="16">
        <f>SUM('[1]2013 Employment'!BK73-'[1]2013 Employment'!AM73) + Q73 -170</f>
        <v>1257.9607258064514</v>
      </c>
      <c r="S73" s="16">
        <f>SUM('[1]2013 Employment'!CI73-'[1]2013 Employment'!BK73) +R73-115</f>
        <v>1272.8032258064513</v>
      </c>
      <c r="T73" s="45">
        <f t="shared" si="45"/>
        <v>280.91290322580619</v>
      </c>
      <c r="U73" s="17">
        <v>239</v>
      </c>
      <c r="W73" s="13">
        <v>2.322769953051643</v>
      </c>
      <c r="X73" s="13">
        <v>2.3277264295457138</v>
      </c>
      <c r="Y73" s="13">
        <v>2.3293891179541784</v>
      </c>
      <c r="Z73" s="13">
        <v>2.3636191170785064</v>
      </c>
      <c r="AB73" s="13">
        <f t="shared" si="47"/>
        <v>2.3154127832464533</v>
      </c>
    </row>
    <row r="74" spans="1:28">
      <c r="A74" s="23" t="s">
        <v>71</v>
      </c>
      <c r="B74" s="24" t="s">
        <v>2</v>
      </c>
      <c r="C74" s="16">
        <v>1017</v>
      </c>
      <c r="D74" s="16">
        <v>1182.2474999999999</v>
      </c>
      <c r="E74" s="16">
        <v>1349.99875</v>
      </c>
      <c r="F74" s="16">
        <v>1517.75</v>
      </c>
      <c r="G74" s="16">
        <f>SUM(((I74-F74)/I74) *D74) +D74 +25</f>
        <v>1344.2501571051182</v>
      </c>
      <c r="H74" s="16">
        <f>SUM(I74-G74)/2 +G74 +100</f>
        <v>1630.4675785525592</v>
      </c>
      <c r="I74" s="16">
        <f>SUM(F74*0.94)+290</f>
        <v>1716.6849999999999</v>
      </c>
      <c r="J74" s="45">
        <f t="shared" si="42"/>
        <v>699.68499999999995</v>
      </c>
      <c r="K74" s="16">
        <v>2842</v>
      </c>
      <c r="L74" s="16">
        <f>SUM(G74*X74) -100</f>
        <v>3579.6784508979426</v>
      </c>
      <c r="M74" s="16">
        <f>SUM(H74*Y74) -200</f>
        <v>4204.5047637869966</v>
      </c>
      <c r="N74" s="16">
        <f t="shared" si="43"/>
        <v>4642.4350947670837</v>
      </c>
      <c r="O74" s="45">
        <f t="shared" si="44"/>
        <v>1800.4350947670837</v>
      </c>
      <c r="P74" s="16">
        <v>716.20464194314025</v>
      </c>
      <c r="Q74" s="16">
        <f>SUM('[1]2013 Employment'!AM74)-'[1]2013 Employment'!O74 +P74 +110</f>
        <v>1009.4364994993158</v>
      </c>
      <c r="R74" s="16">
        <f>SUM('[1]2013 Employment'!BK74-'[1]2013 Employment'!AM74) + Q74 +90</f>
        <v>1233.7314994993158</v>
      </c>
      <c r="S74" s="16">
        <f>SUM('[1]2013 Employment'!CI74-'[1]2013 Employment'!BK74) +R74 +20</f>
        <v>1309.8664994993158</v>
      </c>
      <c r="T74" s="45">
        <f t="shared" si="45"/>
        <v>593.66185755617551</v>
      </c>
      <c r="U74" s="17">
        <v>722</v>
      </c>
      <c r="W74" s="13">
        <v>2.7944936086529006</v>
      </c>
      <c r="X74" s="13">
        <v>2.7373464912380872</v>
      </c>
      <c r="Y74" s="13">
        <v>2.701375250710031</v>
      </c>
      <c r="Z74" s="13">
        <v>2.7043022422675587</v>
      </c>
      <c r="AB74" s="13">
        <f t="shared" si="47"/>
        <v>2.6851669992057707</v>
      </c>
    </row>
    <row r="75" spans="1:28">
      <c r="A75" s="14" t="s">
        <v>72</v>
      </c>
      <c r="B75" s="15" t="s">
        <v>2</v>
      </c>
      <c r="C75" s="16">
        <v>25</v>
      </c>
      <c r="D75" s="16">
        <v>75.315595463332798</v>
      </c>
      <c r="E75" s="16">
        <v>126.39354843368579</v>
      </c>
      <c r="F75" s="16">
        <v>177.47150140403878</v>
      </c>
      <c r="G75" s="16">
        <f t="shared" si="46"/>
        <v>70.508217029503029</v>
      </c>
      <c r="H75" s="16">
        <f t="shared" si="41"/>
        <v>118.66571417464974</v>
      </c>
      <c r="I75" s="16">
        <f>SUM(F75*0.94)</f>
        <v>166.82321131979643</v>
      </c>
      <c r="J75" s="45">
        <f t="shared" si="42"/>
        <v>141.82321131979643</v>
      </c>
      <c r="K75" s="16">
        <v>67</v>
      </c>
      <c r="L75" s="16">
        <f t="shared" ref="L75:M81" si="48">SUM(G75*X75)</f>
        <v>175.0964994700083</v>
      </c>
      <c r="M75" s="16">
        <f t="shared" si="48"/>
        <v>300.46405742455659</v>
      </c>
      <c r="N75" s="16">
        <f t="shared" si="43"/>
        <v>424.316127392336</v>
      </c>
      <c r="O75" s="45">
        <f t="shared" si="44"/>
        <v>357.316127392336</v>
      </c>
      <c r="P75" s="16">
        <v>139.76345726702078</v>
      </c>
      <c r="Q75" s="16">
        <f>SUM('[1]2013 Employment'!AM75)-'[1]2013 Employment'!O75+P75+90</f>
        <v>363</v>
      </c>
      <c r="R75" s="16">
        <f>SUM('[1]2013 Employment'!BK75-'[1]2013 Employment'!AM75) + Q75 +20</f>
        <v>459.79</v>
      </c>
      <c r="S75" s="16">
        <f>SUM('[1]2013 Employment'!CI75-'[1]2013 Employment'!BK75) +R75 +20</f>
        <v>509.08</v>
      </c>
      <c r="T75" s="45">
        <f t="shared" si="45"/>
        <v>369.3165427329792</v>
      </c>
      <c r="U75" s="17"/>
      <c r="W75" s="13">
        <v>2.68</v>
      </c>
      <c r="X75" s="13">
        <v>2.4833488470817802</v>
      </c>
      <c r="Y75" s="13">
        <v>2.5320208074788968</v>
      </c>
      <c r="Z75" s="13">
        <v>2.5435077291428669</v>
      </c>
      <c r="AB75" s="13">
        <f t="shared" si="47"/>
        <v>2.5168286826340234</v>
      </c>
    </row>
    <row r="76" spans="1:28">
      <c r="A76" s="14" t="s">
        <v>73</v>
      </c>
      <c r="B76" s="15" t="s">
        <v>2</v>
      </c>
      <c r="C76" s="16">
        <v>857</v>
      </c>
      <c r="D76" s="16">
        <v>1039.0940000000001</v>
      </c>
      <c r="E76" s="16">
        <v>1223.9470000000001</v>
      </c>
      <c r="F76" s="16">
        <v>1408.8</v>
      </c>
      <c r="G76" s="16">
        <f>SUM(((I76-F76)/I76) *D76) +D76 +15</f>
        <v>944.39431450742075</v>
      </c>
      <c r="H76" s="16">
        <f>SUM(I76-G76)/2 +G76 +50</f>
        <v>1159.3331572537104</v>
      </c>
      <c r="I76" s="16">
        <f>SUM(F76*0.94)-50</f>
        <v>1274.2719999999999</v>
      </c>
      <c r="J76" s="45">
        <f t="shared" si="42"/>
        <v>417.27199999999993</v>
      </c>
      <c r="K76" s="16">
        <v>2181</v>
      </c>
      <c r="L76" s="16">
        <f t="shared" si="48"/>
        <v>2377.0506072259159</v>
      </c>
      <c r="M76" s="16">
        <f t="shared" si="48"/>
        <v>2914.9305120165081</v>
      </c>
      <c r="N76" s="16">
        <f t="shared" si="43"/>
        <v>3231.0486243700007</v>
      </c>
      <c r="O76" s="45">
        <f t="shared" si="44"/>
        <v>1050.0486243700007</v>
      </c>
      <c r="P76" s="16">
        <v>576.11416722296394</v>
      </c>
      <c r="Q76" s="16">
        <f>SUM('[1]2013 Employment'!AM76)-'[1]2013 Employment'!O76 +P76</f>
        <v>788.40677570093453</v>
      </c>
      <c r="R76" s="16">
        <f>SUM('[1]2013 Employment'!BK76-'[1]2013 Employment'!AM76) + Q76</f>
        <v>898.48177570093458</v>
      </c>
      <c r="S76" s="16">
        <f>SUM('[1]2013 Employment'!CI76-'[1]2013 Employment'!BK76) +R76</f>
        <v>957.12677570093456</v>
      </c>
      <c r="T76" s="45">
        <f t="shared" si="45"/>
        <v>381.01260847797062</v>
      </c>
      <c r="U76" s="17" t="s">
        <v>117</v>
      </c>
      <c r="W76" s="13">
        <v>2.5449241540256708</v>
      </c>
      <c r="X76" s="13">
        <v>2.5170107133329611</v>
      </c>
      <c r="Y76" s="13">
        <v>2.5143165221993216</v>
      </c>
      <c r="Z76" s="13">
        <v>2.5356035637367853</v>
      </c>
      <c r="AB76" s="13">
        <f t="shared" si="47"/>
        <v>2.4992306230661256</v>
      </c>
    </row>
    <row r="77" spans="1:28">
      <c r="A77" s="14" t="s">
        <v>74</v>
      </c>
      <c r="B77" s="15" t="s">
        <v>2</v>
      </c>
      <c r="C77" s="16">
        <v>151</v>
      </c>
      <c r="D77" s="16">
        <v>212.02163993853293</v>
      </c>
      <c r="E77" s="16">
        <v>273.96785017916483</v>
      </c>
      <c r="F77" s="16">
        <v>335.91406041979673</v>
      </c>
      <c r="G77" s="16">
        <f t="shared" si="46"/>
        <v>215.03631408296113</v>
      </c>
      <c r="H77" s="16">
        <f t="shared" si="41"/>
        <v>277.89776543878503</v>
      </c>
      <c r="I77" s="16">
        <f>SUM(F77*0.94)+25</f>
        <v>340.7592167946089</v>
      </c>
      <c r="J77" s="45">
        <f t="shared" si="42"/>
        <v>189.7592167946089</v>
      </c>
      <c r="K77" s="16">
        <v>384</v>
      </c>
      <c r="L77" s="16">
        <f t="shared" si="48"/>
        <v>537.10554773931483</v>
      </c>
      <c r="M77" s="16">
        <f t="shared" si="48"/>
        <v>697.71716266526278</v>
      </c>
      <c r="N77" s="16">
        <f t="shared" si="43"/>
        <v>862.45496863022902</v>
      </c>
      <c r="O77" s="45">
        <f t="shared" si="44"/>
        <v>478.45496863022902</v>
      </c>
      <c r="P77" s="16">
        <v>73.991040000000012</v>
      </c>
      <c r="Q77" s="16">
        <f>SUM('[1]2013 Employment'!AM77)-'[1]2013 Employment'!O77 +P77</f>
        <v>246.10304000000002</v>
      </c>
      <c r="R77" s="16">
        <f>SUM('[1]2013 Employment'!BK77-'[1]2013 Employment'!AM77) + Q77</f>
        <v>285.65304000000003</v>
      </c>
      <c r="S77" s="16">
        <f>SUM('[1]2013 Employment'!CI77-'[1]2013 Employment'!BK77) +R77</f>
        <v>330.26304000000005</v>
      </c>
      <c r="T77" s="45">
        <f t="shared" si="45"/>
        <v>256.27200000000005</v>
      </c>
      <c r="U77" s="17">
        <v>200</v>
      </c>
      <c r="W77" s="13">
        <v>2.5430463576158941</v>
      </c>
      <c r="X77" s="13">
        <v>2.4977434626790487</v>
      </c>
      <c r="Y77" s="13">
        <v>2.5106972758978698</v>
      </c>
      <c r="Z77" s="13">
        <v>2.5309806048476449</v>
      </c>
      <c r="AB77" s="13">
        <f t="shared" si="47"/>
        <v>2.4956330922424828</v>
      </c>
    </row>
    <row r="78" spans="1:28">
      <c r="A78" s="14" t="s">
        <v>75</v>
      </c>
      <c r="B78" s="15" t="s">
        <v>2</v>
      </c>
      <c r="C78" s="16">
        <v>116</v>
      </c>
      <c r="D78" s="16">
        <v>225.71502122678328</v>
      </c>
      <c r="E78" s="16">
        <v>337.09239126003297</v>
      </c>
      <c r="F78" s="16">
        <v>448.46976129328266</v>
      </c>
      <c r="G78" s="16">
        <f>SUM(((I78-F78)/I78) *D78) +D78 +125</f>
        <v>119.55316112343894</v>
      </c>
      <c r="H78" s="16">
        <f t="shared" si="41"/>
        <v>170.55736836956231</v>
      </c>
      <c r="I78" s="16">
        <f>SUM(F78*0.94)-200</f>
        <v>221.56157561568568</v>
      </c>
      <c r="J78" s="45">
        <f t="shared" si="42"/>
        <v>105.56157561568568</v>
      </c>
      <c r="K78" s="16">
        <v>297</v>
      </c>
      <c r="L78" s="16">
        <f t="shared" si="48"/>
        <v>295.94485040935757</v>
      </c>
      <c r="M78" s="16">
        <f t="shared" si="48"/>
        <v>428.67395522775684</v>
      </c>
      <c r="N78" s="16">
        <f t="shared" si="43"/>
        <v>560.83251210971127</v>
      </c>
      <c r="O78" s="45">
        <f t="shared" si="44"/>
        <v>263.83251210971127</v>
      </c>
      <c r="P78" s="16">
        <v>589.07584014035604</v>
      </c>
      <c r="Q78" s="16">
        <f>SUM('[1]2013 Employment'!AM78)-'[1]2013 Employment'!O78 +P78 +90</f>
        <v>783.25696664351779</v>
      </c>
      <c r="R78" s="16">
        <f>SUM('[1]2013 Employment'!BK78-'[1]2013 Employment'!AM78) + Q78 +30</f>
        <v>876.46696664351771</v>
      </c>
      <c r="S78" s="16">
        <f>SUM('[1]2013 Employment'!CI78-'[1]2013 Employment'!BK78) +R78 +20</f>
        <v>958.13696664351778</v>
      </c>
      <c r="T78" s="45">
        <f t="shared" si="45"/>
        <v>369.06112650316174</v>
      </c>
      <c r="U78" s="17">
        <v>62</v>
      </c>
      <c r="W78" s="13">
        <v>2.5603448275862069</v>
      </c>
      <c r="X78" s="13">
        <v>2.4754247200857682</v>
      </c>
      <c r="Y78" s="13">
        <v>2.5133710687826141</v>
      </c>
      <c r="Z78" s="13">
        <v>2.5312715463014905</v>
      </c>
      <c r="AB78" s="13">
        <f t="shared" si="47"/>
        <v>2.4982908423699182</v>
      </c>
    </row>
    <row r="79" spans="1:28">
      <c r="A79" s="14" t="s">
        <v>76</v>
      </c>
      <c r="B79" s="15" t="s">
        <v>2</v>
      </c>
      <c r="C79" s="16">
        <v>698</v>
      </c>
      <c r="D79" s="16">
        <v>852.44</v>
      </c>
      <c r="E79" s="16">
        <v>1009.22</v>
      </c>
      <c r="F79" s="16">
        <v>1166</v>
      </c>
      <c r="G79" s="16">
        <f t="shared" si="46"/>
        <v>798.02893617021277</v>
      </c>
      <c r="H79" s="16">
        <f t="shared" si="41"/>
        <v>947.03446808510637</v>
      </c>
      <c r="I79" s="16">
        <f>SUM(F79*0.94)</f>
        <v>1096.04</v>
      </c>
      <c r="J79" s="45">
        <f t="shared" si="42"/>
        <v>398.03999999999996</v>
      </c>
      <c r="K79" s="16">
        <v>2029</v>
      </c>
      <c r="L79" s="16">
        <f t="shared" si="48"/>
        <v>2244.410268731915</v>
      </c>
      <c r="M79" s="16">
        <f t="shared" si="48"/>
        <v>2615.713772441256</v>
      </c>
      <c r="N79" s="16">
        <f t="shared" si="43"/>
        <v>3016.3545262714774</v>
      </c>
      <c r="O79" s="45">
        <f t="shared" si="44"/>
        <v>987.35452627147743</v>
      </c>
      <c r="P79" s="16">
        <v>1101.3431347599769</v>
      </c>
      <c r="Q79" s="16">
        <f>SUM('[1]2013 Employment'!AM79)-'[1]2013 Employment'!O79 +P79</f>
        <v>1301.6888721804512</v>
      </c>
      <c r="R79" s="16">
        <f>SUM('[1]2013 Employment'!BK79-'[1]2013 Employment'!AM79) + Q79</f>
        <v>1395.576372180451</v>
      </c>
      <c r="S79" s="16">
        <f>SUM('[1]2013 Employment'!CI79-'[1]2013 Employment'!BK79) +R79</f>
        <v>1496.128872180451</v>
      </c>
      <c r="T79" s="45">
        <f t="shared" si="45"/>
        <v>394.78573742047411</v>
      </c>
      <c r="U79" s="17" t="s">
        <v>118</v>
      </c>
      <c r="W79" s="13">
        <v>2.9068767908309456</v>
      </c>
      <c r="X79" s="13">
        <v>2.8124422148186383</v>
      </c>
      <c r="Y79" s="13">
        <v>2.7620048272690658</v>
      </c>
      <c r="Z79" s="13">
        <v>2.7520478506911039</v>
      </c>
      <c r="AB79" s="13">
        <f t="shared" si="47"/>
        <v>2.7454327983054516</v>
      </c>
    </row>
    <row r="80" spans="1:28">
      <c r="A80" s="26">
        <v>562</v>
      </c>
      <c r="B80" s="15" t="s">
        <v>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f t="shared" si="41"/>
        <v>0</v>
      </c>
      <c r="I80" s="16">
        <f>SUM(F80*0.94)</f>
        <v>0</v>
      </c>
      <c r="J80" s="45">
        <f t="shared" si="42"/>
        <v>0</v>
      </c>
      <c r="K80" s="16">
        <v>0</v>
      </c>
      <c r="L80" s="16">
        <f t="shared" si="48"/>
        <v>0</v>
      </c>
      <c r="M80" s="16">
        <f t="shared" si="48"/>
        <v>0</v>
      </c>
      <c r="N80" s="16">
        <f t="shared" si="43"/>
        <v>0</v>
      </c>
      <c r="O80" s="45">
        <f t="shared" si="44"/>
        <v>0</v>
      </c>
      <c r="P80" s="16">
        <v>8.5071250000000003</v>
      </c>
      <c r="Q80" s="16">
        <f>SUM('[1]2013 Employment'!AM80)-'[1]2013 Employment'!O80 +P80</f>
        <v>58.347125000000005</v>
      </c>
      <c r="R80" s="16">
        <f>SUM('[1]2013 Employment'!BK80-'[1]2013 Employment'!AM80) + Q80</f>
        <v>86.59212500000001</v>
      </c>
      <c r="S80" s="16">
        <f>SUM('[1]2013 Employment'!CI80-'[1]2013 Employment'!BK80) +R80</f>
        <v>110.66712500000001</v>
      </c>
      <c r="T80" s="45">
        <f t="shared" si="45"/>
        <v>102.16000000000001</v>
      </c>
      <c r="U80" s="17"/>
      <c r="Y80" s="13">
        <v>0</v>
      </c>
      <c r="AB80" s="13">
        <f t="shared" si="47"/>
        <v>0</v>
      </c>
    </row>
    <row r="81" spans="1:28">
      <c r="A81" s="14" t="s">
        <v>77</v>
      </c>
      <c r="B81" s="15" t="s">
        <v>2</v>
      </c>
      <c r="C81" s="16">
        <v>153</v>
      </c>
      <c r="D81" s="16">
        <v>257.94</v>
      </c>
      <c r="E81" s="16">
        <v>364.47</v>
      </c>
      <c r="F81" s="16">
        <v>471</v>
      </c>
      <c r="G81" s="16">
        <f t="shared" si="46"/>
        <v>206.54114987014304</v>
      </c>
      <c r="H81" s="16">
        <f t="shared" si="41"/>
        <v>299.64057493507153</v>
      </c>
      <c r="I81" s="16">
        <f>SUM(F81*0.94)-50</f>
        <v>392.73999999999995</v>
      </c>
      <c r="J81" s="45">
        <f t="shared" si="42"/>
        <v>239.73999999999995</v>
      </c>
      <c r="K81" s="16">
        <v>498</v>
      </c>
      <c r="L81" s="16">
        <f t="shared" si="48"/>
        <v>599.22802080757742</v>
      </c>
      <c r="M81" s="16">
        <f t="shared" si="48"/>
        <v>840.34243005255837</v>
      </c>
      <c r="N81" s="16">
        <f t="shared" si="43"/>
        <v>1083.7611346688564</v>
      </c>
      <c r="O81" s="45">
        <f t="shared" si="44"/>
        <v>585.76113466885636</v>
      </c>
      <c r="P81" s="16">
        <v>8.5071250000000003</v>
      </c>
      <c r="Q81" s="16">
        <f>SUM('[1]2013 Employment'!AM81)-'[1]2013 Employment'!O81 +P81</f>
        <v>94.747124999999997</v>
      </c>
      <c r="R81" s="16">
        <f>SUM('[1]2013 Employment'!BK81-'[1]2013 Employment'!AM81) + Q81</f>
        <v>141.82212499999997</v>
      </c>
      <c r="S81" s="16">
        <f>SUM('[1]2013 Employment'!CI81-'[1]2013 Employment'!BK81) +R81</f>
        <v>168.98712499999999</v>
      </c>
      <c r="T81" s="45">
        <f t="shared" si="45"/>
        <v>160.47999999999999</v>
      </c>
      <c r="U81" s="17"/>
      <c r="W81" s="13">
        <v>3.2549019607843137</v>
      </c>
      <c r="X81" s="13">
        <v>2.9012524680158176</v>
      </c>
      <c r="Y81" s="13">
        <v>2.8045014605737237</v>
      </c>
      <c r="Z81" s="13">
        <v>2.7594875354403841</v>
      </c>
      <c r="AB81" s="13">
        <f t="shared" si="47"/>
        <v>2.7876744518102812</v>
      </c>
    </row>
    <row r="82" spans="1:28">
      <c r="A82" s="14" t="s">
        <v>78</v>
      </c>
      <c r="B82" s="15" t="s">
        <v>2</v>
      </c>
      <c r="C82" s="16">
        <v>846</v>
      </c>
      <c r="D82" s="16">
        <v>1096.8</v>
      </c>
      <c r="E82" s="16">
        <v>1351.4</v>
      </c>
      <c r="F82" s="16">
        <v>1606</v>
      </c>
      <c r="G82" s="16">
        <f t="shared" si="46"/>
        <v>944.01797905848287</v>
      </c>
      <c r="H82" s="16">
        <f>SUM(I82-G82)/2 +G82 +90</f>
        <v>1266.8289895292414</v>
      </c>
      <c r="I82" s="16">
        <f>SUM(F82*0.94)-100</f>
        <v>1409.6399999999999</v>
      </c>
      <c r="J82" s="45">
        <f t="shared" si="42"/>
        <v>563.63999999999987</v>
      </c>
      <c r="K82" s="16">
        <v>2272</v>
      </c>
      <c r="L82" s="16">
        <f>SUM(G82*X82) -50</f>
        <v>2434.8144750144434</v>
      </c>
      <c r="M82" s="16">
        <f>SUM(H82*Y82) -100</f>
        <v>3209.4545571451076</v>
      </c>
      <c r="N82" s="16">
        <f t="shared" si="43"/>
        <v>3690.6070114048157</v>
      </c>
      <c r="O82" s="45">
        <f t="shared" si="44"/>
        <v>1418.6070114048157</v>
      </c>
      <c r="P82" s="16">
        <v>590.22183284457503</v>
      </c>
      <c r="Q82" s="16">
        <v>1229.0490469208212</v>
      </c>
      <c r="R82" s="16">
        <v>1565.2940469208211</v>
      </c>
      <c r="S82" s="16">
        <v>1662.049046920821</v>
      </c>
      <c r="T82" s="45">
        <f t="shared" si="45"/>
        <v>1071.827214076246</v>
      </c>
      <c r="U82" s="17" t="s">
        <v>119</v>
      </c>
      <c r="W82" s="13">
        <v>2.685579196217494</v>
      </c>
      <c r="X82" s="13">
        <v>2.6321685922684175</v>
      </c>
      <c r="Y82" s="13">
        <v>2.6123925048280698</v>
      </c>
      <c r="Z82" s="13">
        <v>2.6181202373689851</v>
      </c>
      <c r="AB82" s="13">
        <f t="shared" si="47"/>
        <v>2.5967181497991012</v>
      </c>
    </row>
    <row r="83" spans="1:28">
      <c r="A83" s="14" t="s">
        <v>79</v>
      </c>
      <c r="B83" s="15" t="s">
        <v>2</v>
      </c>
      <c r="C83" s="16">
        <v>335</v>
      </c>
      <c r="D83" s="16">
        <v>416.51</v>
      </c>
      <c r="E83" s="16">
        <v>499.255</v>
      </c>
      <c r="F83" s="16">
        <v>582</v>
      </c>
      <c r="G83" s="16">
        <f t="shared" si="46"/>
        <v>389.92425531914887</v>
      </c>
      <c r="H83" s="16">
        <f t="shared" si="41"/>
        <v>468.5021276595744</v>
      </c>
      <c r="I83" s="16">
        <f>SUM(F83*0.94)</f>
        <v>547.07999999999993</v>
      </c>
      <c r="J83" s="45">
        <f t="shared" si="42"/>
        <v>212.07999999999993</v>
      </c>
      <c r="K83" s="16">
        <v>811</v>
      </c>
      <c r="L83" s="16">
        <f>SUM(G83*X83)</f>
        <v>941.27563237446782</v>
      </c>
      <c r="M83" s="16">
        <f>SUM(H83*Y83)</f>
        <v>1139.1232507127879</v>
      </c>
      <c r="N83" s="16">
        <f t="shared" ref="N83" si="49">SUM(I83*Z83)</f>
        <v>1347.6954444210573</v>
      </c>
      <c r="O83" s="45">
        <f t="shared" si="44"/>
        <v>536.69544442105735</v>
      </c>
      <c r="P83" s="16">
        <v>71.245974025974022</v>
      </c>
      <c r="Q83" s="16">
        <f>SUM('[1]2013 Employment'!AM83)-'[1]2013 Employment'!O83 +P83</f>
        <v>454.33714285714285</v>
      </c>
      <c r="R83" s="16">
        <f>SUM('[1]2013 Employment'!BK83-'[1]2013 Employment'!AM83) + Q83</f>
        <v>560.84214285714279</v>
      </c>
      <c r="S83" s="16">
        <f>SUM('[1]2013 Employment'!CI83-'[1]2013 Employment'!BK83) +R83</f>
        <v>611.69714285714281</v>
      </c>
      <c r="T83" s="45">
        <f t="shared" si="45"/>
        <v>540.45116883116884</v>
      </c>
      <c r="U83" s="17">
        <v>230</v>
      </c>
      <c r="W83" s="13">
        <v>2.4208955223880597</v>
      </c>
      <c r="X83" s="13">
        <v>2.4139961018943121</v>
      </c>
      <c r="Y83" s="13">
        <v>2.4314153201466437</v>
      </c>
      <c r="Z83" s="13">
        <v>2.4634339482727525</v>
      </c>
      <c r="AB83" s="13">
        <f t="shared" si="47"/>
        <v>2.4168268282257639</v>
      </c>
    </row>
    <row r="84" spans="1:28" ht="13.5" thickBot="1">
      <c r="A84" s="1"/>
      <c r="B84" s="2" t="s">
        <v>10</v>
      </c>
      <c r="C84" s="10">
        <f t="shared" ref="C84:I84" si="50">SUM(C67:C83)</f>
        <v>8656</v>
      </c>
      <c r="D84" s="10">
        <f t="shared" si="50"/>
        <v>10562.861346406362</v>
      </c>
      <c r="E84" s="10">
        <f t="shared" si="50"/>
        <v>12498.61453139464</v>
      </c>
      <c r="F84" s="10">
        <f t="shared" si="50"/>
        <v>14434.367716382918</v>
      </c>
      <c r="G84" s="10">
        <f t="shared" si="50"/>
        <v>9749.5428062399442</v>
      </c>
      <c r="H84" s="10">
        <f t="shared" si="50"/>
        <v>11854.424229819946</v>
      </c>
      <c r="I84" s="10">
        <f t="shared" si="50"/>
        <v>13279.305653399941</v>
      </c>
      <c r="J84" s="10">
        <f>SUM(J67:J83)</f>
        <v>4623.3056533999425</v>
      </c>
      <c r="K84" s="3">
        <f>SUM(K67:K83)</f>
        <v>23269</v>
      </c>
      <c r="L84" s="3">
        <f t="shared" ref="L84:T84" si="51">SUM(L67:L83)</f>
        <v>25498.301131797616</v>
      </c>
      <c r="M84" s="3">
        <f t="shared" si="51"/>
        <v>30593.010932121579</v>
      </c>
      <c r="N84" s="3">
        <f t="shared" si="51"/>
        <v>34862.243891674552</v>
      </c>
      <c r="O84" s="3">
        <f t="shared" si="51"/>
        <v>11593.243891674552</v>
      </c>
      <c r="P84" s="3">
        <f t="shared" si="51"/>
        <v>6705.7865992350653</v>
      </c>
      <c r="Q84" s="3">
        <f t="shared" si="51"/>
        <v>10041.017857258656</v>
      </c>
      <c r="R84" s="3">
        <f t="shared" si="51"/>
        <v>11820.552857258655</v>
      </c>
      <c r="S84" s="3">
        <f t="shared" si="51"/>
        <v>12642.197857258656</v>
      </c>
      <c r="T84" s="10">
        <f t="shared" si="51"/>
        <v>5936.4112580235906</v>
      </c>
      <c r="U84" s="3"/>
      <c r="W84" s="13">
        <v>2.6881931608133085</v>
      </c>
      <c r="X84" s="13">
        <v>2.6375140020103696</v>
      </c>
      <c r="Y84" s="13">
        <v>2.6157116055065686</v>
      </c>
      <c r="Z84" s="13">
        <v>2.6241962259109508</v>
      </c>
      <c r="AB84" s="13">
        <f t="shared" si="47"/>
        <v>2.6000173358735292</v>
      </c>
    </row>
    <row r="85" spans="1:28" s="22" customFormat="1" ht="16.5" customHeight="1" thickTop="1">
      <c r="A85" s="18"/>
      <c r="B85" s="19"/>
      <c r="C85" s="21"/>
      <c r="D85" s="30"/>
      <c r="E85" s="30"/>
      <c r="F85" s="59">
        <v>13279.395</v>
      </c>
      <c r="G85" s="60"/>
      <c r="H85" s="60"/>
      <c r="I85" s="60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0"/>
      <c r="W85" s="13"/>
      <c r="X85" s="13"/>
      <c r="Y85" s="13"/>
      <c r="Z85" s="13"/>
    </row>
    <row r="86" spans="1:28" s="22" customFormat="1" ht="16.5" customHeight="1" thickBot="1">
      <c r="A86" s="55"/>
      <c r="B86" s="56"/>
      <c r="C86" s="57"/>
      <c r="D86" s="58"/>
      <c r="E86" s="58"/>
      <c r="F86" s="58"/>
      <c r="G86" s="58"/>
      <c r="H86" s="58"/>
      <c r="I86" s="58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20"/>
      <c r="W86" s="13"/>
      <c r="X86" s="13"/>
      <c r="Y86" s="13"/>
      <c r="Z86" s="13"/>
    </row>
    <row r="87" spans="1:28" ht="34.5" customHeight="1" thickTop="1">
      <c r="A87" s="5" t="s">
        <v>0</v>
      </c>
      <c r="B87" s="4" t="s">
        <v>11</v>
      </c>
      <c r="C87" s="4" t="s">
        <v>134</v>
      </c>
      <c r="D87" s="4" t="s">
        <v>103</v>
      </c>
      <c r="E87" s="4" t="s">
        <v>104</v>
      </c>
      <c r="F87" s="4" t="s">
        <v>105</v>
      </c>
      <c r="G87" s="4" t="s">
        <v>137</v>
      </c>
      <c r="H87" s="4" t="s">
        <v>136</v>
      </c>
      <c r="I87" s="4" t="s">
        <v>135</v>
      </c>
      <c r="J87" s="12" t="s">
        <v>102</v>
      </c>
      <c r="K87" s="4" t="s">
        <v>130</v>
      </c>
      <c r="L87" s="4" t="s">
        <v>131</v>
      </c>
      <c r="M87" s="4" t="s">
        <v>132</v>
      </c>
      <c r="N87" s="4" t="s">
        <v>133</v>
      </c>
      <c r="O87" s="12" t="s">
        <v>138</v>
      </c>
      <c r="P87" s="4" t="s">
        <v>127</v>
      </c>
      <c r="Q87" s="4" t="s">
        <v>126</v>
      </c>
      <c r="R87" s="4" t="s">
        <v>128</v>
      </c>
      <c r="S87" s="4" t="s">
        <v>129</v>
      </c>
      <c r="T87" s="12" t="s">
        <v>139</v>
      </c>
      <c r="U87" s="4" t="s">
        <v>101</v>
      </c>
    </row>
    <row r="88" spans="1:28">
      <c r="A88" s="14" t="s">
        <v>80</v>
      </c>
      <c r="B88" s="15" t="s">
        <v>6</v>
      </c>
      <c r="C88" s="16">
        <v>633</v>
      </c>
      <c r="D88" s="16">
        <v>667.32</v>
      </c>
      <c r="E88" s="16">
        <v>702.16000000000008</v>
      </c>
      <c r="F88" s="16">
        <v>737</v>
      </c>
      <c r="G88" s="16">
        <f t="shared" ref="G88:G92" si="52">SUM(((I88-F88)/I88) *D88) +D88</f>
        <v>639.51499999999999</v>
      </c>
      <c r="H88" s="16">
        <f t="shared" ref="H88:H92" si="53">SUM(I88-G88)/2 +G88</f>
        <v>673.51749999999993</v>
      </c>
      <c r="I88" s="16">
        <f>SUM(F88*0.96)</f>
        <v>707.52</v>
      </c>
      <c r="J88" s="45">
        <f>SUM(I88-C88)</f>
        <v>74.519999999999982</v>
      </c>
      <c r="K88" s="16">
        <v>1839</v>
      </c>
      <c r="L88" s="16">
        <f t="shared" ref="L88:N92" si="54">SUM(G88*X88)</f>
        <v>1840.9235558</v>
      </c>
      <c r="M88" s="16">
        <f t="shared" si="54"/>
        <v>1931.8255803208947</v>
      </c>
      <c r="N88" s="16">
        <f t="shared" si="54"/>
        <v>2017.421612395211</v>
      </c>
      <c r="O88" s="45">
        <f t="shared" ref="O88:O92" si="55">SUM(N88-K88)</f>
        <v>178.42161239521101</v>
      </c>
      <c r="P88" s="16">
        <v>517.64568316831674</v>
      </c>
      <c r="Q88" s="16">
        <f>SUM('[1]2013 Employment'!AM87)-'[1]2013 Employment'!O87 +P88</f>
        <v>594.07857920792082</v>
      </c>
      <c r="R88" s="16">
        <f>SUM('[1]2013 Employment'!BK87-'[1]2013 Employment'!AM87) + Q88</f>
        <v>600.58857920792082</v>
      </c>
      <c r="S88" s="16">
        <f>SUM('[1]2013 Employment'!CI87-'[1]2013 Employment'!BK87) +R88</f>
        <v>671.39857920792076</v>
      </c>
      <c r="T88" s="45">
        <f t="shared" ref="T88:T92" si="56">SUM(S88-P88)</f>
        <v>153.75289603960402</v>
      </c>
      <c r="U88" s="17">
        <v>30</v>
      </c>
      <c r="W88" s="13">
        <v>2.90521327014218</v>
      </c>
      <c r="X88" s="13">
        <v>2.8786245135766948</v>
      </c>
      <c r="Y88" s="13">
        <v>2.8682633789335763</v>
      </c>
      <c r="Z88" s="13">
        <v>2.8513987058955381</v>
      </c>
    </row>
    <row r="89" spans="1:28">
      <c r="A89" s="14" t="s">
        <v>81</v>
      </c>
      <c r="B89" s="15" t="s">
        <v>6</v>
      </c>
      <c r="C89" s="16">
        <v>691</v>
      </c>
      <c r="D89" s="16">
        <v>727.3</v>
      </c>
      <c r="E89" s="16">
        <v>764.15</v>
      </c>
      <c r="F89" s="16">
        <v>801</v>
      </c>
      <c r="G89" s="16">
        <f t="shared" si="52"/>
        <v>696.99583333333317</v>
      </c>
      <c r="H89" s="16">
        <f t="shared" si="53"/>
        <v>732.97791666666649</v>
      </c>
      <c r="I89" s="16">
        <f>SUM(F89*0.96)</f>
        <v>768.95999999999992</v>
      </c>
      <c r="J89" s="45">
        <f>SUM(I89-C89)</f>
        <v>77.959999999999923</v>
      </c>
      <c r="K89" s="16">
        <v>2016</v>
      </c>
      <c r="L89" s="16">
        <f t="shared" si="54"/>
        <v>2015.0802032499996</v>
      </c>
      <c r="M89" s="16">
        <f t="shared" si="54"/>
        <v>2111.2860352622051</v>
      </c>
      <c r="N89" s="16">
        <f t="shared" si="54"/>
        <v>2201.8790131103196</v>
      </c>
      <c r="O89" s="45">
        <f t="shared" si="55"/>
        <v>185.87901311031965</v>
      </c>
      <c r="P89" s="16">
        <v>556.36384835574495</v>
      </c>
      <c r="Q89" s="16">
        <f>SUM('[1]2013 Employment'!AM88)-'[1]2013 Employment'!O88 +P89</f>
        <v>613.52417540939962</v>
      </c>
      <c r="R89" s="16">
        <f>SUM('[1]2013 Employment'!BK88-'[1]2013 Employment'!AM88) + Q89</f>
        <v>620.24417540939965</v>
      </c>
      <c r="S89" s="16">
        <f>SUM('[1]2013 Employment'!CI88-'[1]2013 Employment'!BK88) +R89</f>
        <v>692.08417540939968</v>
      </c>
      <c r="T89" s="45">
        <f t="shared" si="56"/>
        <v>135.72032705365473</v>
      </c>
      <c r="U89" s="17"/>
      <c r="W89" s="13">
        <v>2.9175108538350218</v>
      </c>
      <c r="X89" s="13">
        <v>2.8910936147394475</v>
      </c>
      <c r="Y89" s="13">
        <v>2.8804224346397964</v>
      </c>
      <c r="Z89" s="13">
        <v>2.8634506516728049</v>
      </c>
    </row>
    <row r="90" spans="1:28">
      <c r="A90" s="23" t="s">
        <v>82</v>
      </c>
      <c r="B90" s="24" t="s">
        <v>6</v>
      </c>
      <c r="C90" s="16">
        <v>1627</v>
      </c>
      <c r="D90" s="16">
        <v>1772.53</v>
      </c>
      <c r="E90" s="16">
        <v>1920.2649999999999</v>
      </c>
      <c r="F90" s="16">
        <v>2068</v>
      </c>
      <c r="G90" s="16">
        <f>SUM(((I90-F90)/I90) *D90) +D90</f>
        <v>1692.7405328158793</v>
      </c>
      <c r="H90" s="16">
        <f>SUM(I90-G90)/2 +G90 +70</f>
        <v>1905.8302664079397</v>
      </c>
      <c r="I90" s="16">
        <f>SUM(F90*0.94) +35</f>
        <v>1978.9199999999998</v>
      </c>
      <c r="J90" s="45">
        <f>SUM(I90-C90)</f>
        <v>351.91999999999985</v>
      </c>
      <c r="K90" s="16">
        <v>4336</v>
      </c>
      <c r="L90" s="16">
        <f t="shared" si="54"/>
        <v>4472.7298737437304</v>
      </c>
      <c r="M90" s="16">
        <f t="shared" si="54"/>
        <v>5039.8102547658345</v>
      </c>
      <c r="N90" s="16">
        <f t="shared" si="54"/>
        <v>5214.3008454227856</v>
      </c>
      <c r="O90" s="45">
        <f t="shared" si="55"/>
        <v>878.30084542278564</v>
      </c>
      <c r="P90" s="16">
        <v>1888.0888847304</v>
      </c>
      <c r="Q90" s="16">
        <v>2199.2464557234398</v>
      </c>
      <c r="R90" s="16">
        <v>2225.6014557234398</v>
      </c>
      <c r="S90" s="16">
        <v>2578.1464557234399</v>
      </c>
      <c r="T90" s="45">
        <f t="shared" si="56"/>
        <v>690.05757099303992</v>
      </c>
      <c r="U90" s="17">
        <v>370</v>
      </c>
      <c r="W90" s="13">
        <v>2.6650276582667485</v>
      </c>
      <c r="X90" s="13">
        <v>2.64230092387717</v>
      </c>
      <c r="Y90" s="13">
        <v>2.6444171569720845</v>
      </c>
      <c r="Z90" s="13">
        <v>2.6349225059238304</v>
      </c>
    </row>
    <row r="91" spans="1:28">
      <c r="A91" s="23" t="s">
        <v>83</v>
      </c>
      <c r="B91" s="24" t="s">
        <v>6</v>
      </c>
      <c r="C91" s="16">
        <v>432</v>
      </c>
      <c r="D91" s="16">
        <v>542.44420724456438</v>
      </c>
      <c r="E91" s="16">
        <v>654.56181156859179</v>
      </c>
      <c r="F91" s="16">
        <v>766.6794158926192</v>
      </c>
      <c r="G91" s="16">
        <f t="shared" si="52"/>
        <v>507.8201089098049</v>
      </c>
      <c r="H91" s="16">
        <f t="shared" si="53"/>
        <v>614.24937992443347</v>
      </c>
      <c r="I91" s="16">
        <f>SUM(F91*0.94)</f>
        <v>720.67865093906198</v>
      </c>
      <c r="J91" s="45">
        <f>SUM(I91-C91)</f>
        <v>288.67865093906198</v>
      </c>
      <c r="K91" s="16">
        <v>1271</v>
      </c>
      <c r="L91" s="16">
        <f t="shared" si="54"/>
        <v>1436.801337096319</v>
      </c>
      <c r="M91" s="16">
        <f t="shared" si="54"/>
        <v>1721.1411419948806</v>
      </c>
      <c r="N91" s="16">
        <f t="shared" si="54"/>
        <v>1988.7411550579236</v>
      </c>
      <c r="O91" s="45">
        <f t="shared" si="55"/>
        <v>717.74115505792361</v>
      </c>
      <c r="P91" s="16">
        <v>49.587434920634919</v>
      </c>
      <c r="Q91" s="16">
        <f>SUM('[1]2013 Employment'!AM90)-'[1]2013 Employment'!O90 +P91</f>
        <v>110</v>
      </c>
      <c r="R91" s="16">
        <f>SUM('[1]2013 Employment'!BK90-'[1]2013 Employment'!AM90) + Q91</f>
        <v>111.05</v>
      </c>
      <c r="S91" s="16">
        <f>SUM('[1]2013 Employment'!CI90-'[1]2013 Employment'!BK90) +R91</f>
        <v>155.07999999999998</v>
      </c>
      <c r="T91" s="45">
        <f t="shared" si="56"/>
        <v>105.49256507936506</v>
      </c>
      <c r="U91" s="17">
        <v>241</v>
      </c>
      <c r="W91" s="13">
        <v>2.9421296296296298</v>
      </c>
      <c r="X91" s="13">
        <v>2.8293510081372388</v>
      </c>
      <c r="Y91" s="13">
        <v>2.8020234097861358</v>
      </c>
      <c r="Z91" s="13">
        <v>2.759539431987537</v>
      </c>
    </row>
    <row r="92" spans="1:28">
      <c r="A92" s="14" t="s">
        <v>84</v>
      </c>
      <c r="B92" s="15" t="s">
        <v>6</v>
      </c>
      <c r="C92" s="16">
        <v>462</v>
      </c>
      <c r="D92" s="16">
        <v>513.15896940000005</v>
      </c>
      <c r="E92" s="16">
        <v>565.09307469999999</v>
      </c>
      <c r="F92" s="16">
        <v>617.02718000000004</v>
      </c>
      <c r="G92" s="16">
        <f t="shared" si="52"/>
        <v>484.45920870499106</v>
      </c>
      <c r="H92" s="16">
        <f t="shared" si="53"/>
        <v>534.40265075249556</v>
      </c>
      <c r="I92" s="16">
        <f>SUM(F92*0.96)-8</f>
        <v>584.34609280000006</v>
      </c>
      <c r="J92" s="45">
        <f>SUM(I92-C92)</f>
        <v>122.34609280000006</v>
      </c>
      <c r="K92" s="16">
        <v>1256</v>
      </c>
      <c r="L92" s="16">
        <f t="shared" si="54"/>
        <v>1301.1006072531809</v>
      </c>
      <c r="M92" s="16">
        <f t="shared" si="54"/>
        <v>1434.4531676155689</v>
      </c>
      <c r="N92" s="16">
        <f t="shared" si="54"/>
        <v>1560.0179213397842</v>
      </c>
      <c r="O92" s="45">
        <f t="shared" si="55"/>
        <v>304.01792133978415</v>
      </c>
      <c r="P92" s="16">
        <v>439.40271395022967</v>
      </c>
      <c r="Q92" s="16">
        <f>SUM('[1]2013 Employment'!AM91)-'[1]2013 Employment'!O91 +P92</f>
        <v>482.59642024547833</v>
      </c>
      <c r="R92" s="16">
        <f>SUM('[1]2013 Employment'!BK91-'[1]2013 Employment'!AM91) + Q92</f>
        <v>497.26142024547835</v>
      </c>
      <c r="S92" s="16">
        <f>SUM('[1]2013 Employment'!CI91-'[1]2013 Employment'!BK91) +R92</f>
        <v>563.4364202454783</v>
      </c>
      <c r="T92" s="45">
        <f t="shared" si="56"/>
        <v>124.03370629524863</v>
      </c>
      <c r="U92" s="17">
        <v>86</v>
      </c>
      <c r="W92" s="13">
        <v>2.7186147186147185</v>
      </c>
      <c r="X92" s="13">
        <v>2.6856762837291415</v>
      </c>
      <c r="Y92" s="13">
        <v>2.6842179124592791</v>
      </c>
      <c r="Z92" s="13">
        <v>2.6696814448859851</v>
      </c>
    </row>
    <row r="93" spans="1:28" ht="13.5" thickBot="1">
      <c r="A93" s="1"/>
      <c r="B93" s="2" t="s">
        <v>10</v>
      </c>
      <c r="C93" s="10">
        <f t="shared" ref="C93:I93" si="57">SUM(C88:C92)</f>
        <v>3845</v>
      </c>
      <c r="D93" s="10">
        <f t="shared" si="57"/>
        <v>4222.7531766445645</v>
      </c>
      <c r="E93" s="10">
        <f t="shared" si="57"/>
        <v>4606.2298862685921</v>
      </c>
      <c r="F93" s="10">
        <f t="shared" si="57"/>
        <v>4989.7065958926196</v>
      </c>
      <c r="G93" s="10">
        <f t="shared" si="57"/>
        <v>4021.5306837640082</v>
      </c>
      <c r="H93" s="10">
        <f t="shared" si="57"/>
        <v>4460.9777137515348</v>
      </c>
      <c r="I93" s="10">
        <f t="shared" si="57"/>
        <v>4760.4247437390623</v>
      </c>
      <c r="J93" s="10">
        <f>SUM(J88:J92)</f>
        <v>915.4247437390618</v>
      </c>
      <c r="K93" s="3">
        <f>SUM(K88:K92)</f>
        <v>10718</v>
      </c>
      <c r="L93" s="3">
        <f t="shared" ref="L93:T93" si="58">SUM(L88:L92)</f>
        <v>11066.635577143232</v>
      </c>
      <c r="M93" s="3">
        <f t="shared" si="58"/>
        <v>12238.516179959384</v>
      </c>
      <c r="N93" s="3">
        <f t="shared" si="58"/>
        <v>12982.360547326023</v>
      </c>
      <c r="O93" s="3">
        <f t="shared" si="58"/>
        <v>2264.3605473260241</v>
      </c>
      <c r="P93" s="3">
        <f t="shared" si="58"/>
        <v>3451.0885651253266</v>
      </c>
      <c r="Q93" s="3">
        <f t="shared" si="58"/>
        <v>3999.4456305862386</v>
      </c>
      <c r="R93" s="3">
        <f t="shared" si="58"/>
        <v>4054.7456305862388</v>
      </c>
      <c r="S93" s="3">
        <f t="shared" si="58"/>
        <v>4660.1456305862384</v>
      </c>
      <c r="T93" s="10">
        <f t="shared" si="58"/>
        <v>1209.0570654609123</v>
      </c>
      <c r="U93" s="3"/>
      <c r="W93" s="13">
        <v>2.7875162548764632</v>
      </c>
      <c r="X93" s="13">
        <v>2.7517965662297024</v>
      </c>
      <c r="Y93" s="13">
        <v>2.7449708577704639</v>
      </c>
      <c r="Z93" s="13">
        <v>2.7270286122577896</v>
      </c>
    </row>
    <row r="94" spans="1:28" s="22" customFormat="1" ht="14.25" thickTop="1" thickBot="1">
      <c r="A94" s="18"/>
      <c r="B94" s="19"/>
      <c r="C94" s="21"/>
      <c r="D94" s="21"/>
      <c r="E94" s="21"/>
      <c r="F94" s="21">
        <v>4725.1511999999993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0"/>
      <c r="W94" s="13"/>
      <c r="X94" s="13"/>
      <c r="Y94" s="13"/>
      <c r="Z94" s="13"/>
    </row>
    <row r="95" spans="1:28" ht="32.25" customHeight="1" thickTop="1">
      <c r="A95" s="5" t="s">
        <v>0</v>
      </c>
      <c r="B95" s="4" t="s">
        <v>11</v>
      </c>
      <c r="C95" s="4" t="s">
        <v>134</v>
      </c>
      <c r="D95" s="4" t="s">
        <v>103</v>
      </c>
      <c r="E95" s="4" t="s">
        <v>104</v>
      </c>
      <c r="F95" s="4" t="s">
        <v>105</v>
      </c>
      <c r="G95" s="4" t="s">
        <v>137</v>
      </c>
      <c r="H95" s="4" t="s">
        <v>136</v>
      </c>
      <c r="I95" s="4" t="s">
        <v>135</v>
      </c>
      <c r="J95" s="12" t="s">
        <v>102</v>
      </c>
      <c r="K95" s="4" t="s">
        <v>130</v>
      </c>
      <c r="L95" s="4" t="s">
        <v>131</v>
      </c>
      <c r="M95" s="4" t="s">
        <v>132</v>
      </c>
      <c r="N95" s="4" t="s">
        <v>133</v>
      </c>
      <c r="O95" s="12" t="s">
        <v>138</v>
      </c>
      <c r="P95" s="4" t="s">
        <v>127</v>
      </c>
      <c r="Q95" s="4" t="s">
        <v>126</v>
      </c>
      <c r="R95" s="4" t="s">
        <v>128</v>
      </c>
      <c r="S95" s="4" t="s">
        <v>129</v>
      </c>
      <c r="T95" s="12" t="s">
        <v>139</v>
      </c>
      <c r="U95" s="4" t="s">
        <v>101</v>
      </c>
    </row>
    <row r="96" spans="1:28">
      <c r="A96" s="14" t="s">
        <v>85</v>
      </c>
      <c r="B96" s="15" t="s">
        <v>5</v>
      </c>
      <c r="C96" s="16">
        <v>245</v>
      </c>
      <c r="D96" s="16">
        <v>593.15000000000009</v>
      </c>
      <c r="E96" s="16">
        <v>1046.575</v>
      </c>
      <c r="F96" s="16">
        <v>1300</v>
      </c>
      <c r="G96" s="16">
        <v>345</v>
      </c>
      <c r="H96" s="16">
        <f t="shared" ref="H96:H101" si="59">SUM(I96-G96)/2 +G96</f>
        <v>385</v>
      </c>
      <c r="I96" s="16">
        <f>SUM(F96*0.75)-550</f>
        <v>425</v>
      </c>
      <c r="J96" s="45">
        <f t="shared" ref="J96:J102" si="60">SUM(I96-C96)</f>
        <v>180</v>
      </c>
      <c r="K96" s="16">
        <v>664</v>
      </c>
      <c r="L96" s="16">
        <f t="shared" ref="L96:N102" si="61">SUM(G96*X96)</f>
        <v>866.92307623703948</v>
      </c>
      <c r="M96" s="16">
        <f t="shared" si="61"/>
        <v>973.8969063975826</v>
      </c>
      <c r="N96" s="16">
        <f t="shared" si="61"/>
        <v>1064.3657395570917</v>
      </c>
      <c r="O96" s="45">
        <f t="shared" ref="O96:O102" si="62">SUM(N96-K96)</f>
        <v>400.36573955709173</v>
      </c>
      <c r="P96" s="16">
        <v>275.65706479313036</v>
      </c>
      <c r="Q96" s="16">
        <f>SUM('[1]2013 Employment'!AM95)-'[1]2013 Employment'!O95 +P96 *0.99</f>
        <v>483.92621623731463</v>
      </c>
      <c r="R96" s="16">
        <f>SUM('[1]2013 Employment'!BK95-'[1]2013 Employment'!AM95) + Q96</f>
        <v>611.03121623731454</v>
      </c>
      <c r="S96" s="16">
        <f>SUM('[1]2013 Employment'!CI95-'[1]2013 Employment'!BK95) +R96</f>
        <v>681.3262162373145</v>
      </c>
      <c r="T96" s="45">
        <f t="shared" ref="T96:T102" si="63">SUM(S96-P96)</f>
        <v>405.66915144418414</v>
      </c>
      <c r="U96" s="17">
        <v>110</v>
      </c>
      <c r="W96" s="13">
        <v>2.7102040816326531</v>
      </c>
      <c r="X96" s="13">
        <v>2.5128205108319985</v>
      </c>
      <c r="Y96" s="13">
        <v>2.5296023542794353</v>
      </c>
      <c r="Z96" s="13">
        <v>2.5043899754284511</v>
      </c>
    </row>
    <row r="97" spans="1:26">
      <c r="A97" s="23" t="s">
        <v>86</v>
      </c>
      <c r="B97" s="24" t="s">
        <v>5</v>
      </c>
      <c r="C97" s="16">
        <v>1169</v>
      </c>
      <c r="D97" s="16">
        <v>1323.8822</v>
      </c>
      <c r="E97" s="16">
        <v>1481.1111000000001</v>
      </c>
      <c r="F97" s="16">
        <v>1638.34</v>
      </c>
      <c r="G97" s="16">
        <v>1269</v>
      </c>
      <c r="H97" s="16">
        <f t="shared" si="59"/>
        <v>1375.9526000000001</v>
      </c>
      <c r="I97" s="16">
        <f>SUM(F97*0.78) +205</f>
        <v>1482.9051999999999</v>
      </c>
      <c r="J97" s="45">
        <f t="shared" si="60"/>
        <v>313.90519999999992</v>
      </c>
      <c r="K97" s="16">
        <v>3121</v>
      </c>
      <c r="L97" s="16">
        <f t="shared" si="61"/>
        <v>3330.4718032713122</v>
      </c>
      <c r="M97" s="16">
        <f t="shared" si="61"/>
        <v>3600.5148041749471</v>
      </c>
      <c r="N97" s="16">
        <f t="shared" si="61"/>
        <v>3849.5755163871763</v>
      </c>
      <c r="O97" s="45">
        <f t="shared" si="62"/>
        <v>728.57551638717632</v>
      </c>
      <c r="P97" s="16">
        <v>3097.8846565465601</v>
      </c>
      <c r="Q97" s="16">
        <v>3771.8282861168541</v>
      </c>
      <c r="R97" s="16">
        <v>4387.3982861168533</v>
      </c>
      <c r="S97" s="16">
        <v>4402.8282861168536</v>
      </c>
      <c r="T97" s="45">
        <f t="shared" si="63"/>
        <v>1304.9436295702935</v>
      </c>
      <c r="U97" s="17" t="s">
        <v>121</v>
      </c>
      <c r="W97" s="13">
        <v>2.6698032506415741</v>
      </c>
      <c r="X97" s="13">
        <v>2.6244852665652578</v>
      </c>
      <c r="Y97" s="13">
        <v>2.6167433414311998</v>
      </c>
      <c r="Z97" s="13">
        <v>2.5959687216601415</v>
      </c>
    </row>
    <row r="98" spans="1:26">
      <c r="A98" s="23" t="s">
        <v>87</v>
      </c>
      <c r="B98" s="24" t="s">
        <v>5</v>
      </c>
      <c r="C98" s="16">
        <v>648</v>
      </c>
      <c r="D98" s="16">
        <v>945.17895146414821</v>
      </c>
      <c r="E98" s="16">
        <v>1246.8606143141169</v>
      </c>
      <c r="F98" s="16">
        <v>1548.5422771640856</v>
      </c>
      <c r="G98" s="16">
        <v>688</v>
      </c>
      <c r="H98" s="16">
        <f t="shared" si="59"/>
        <v>777.20335393653204</v>
      </c>
      <c r="I98" s="16">
        <f>SUM(F98*0.75)-295</f>
        <v>866.40670787306408</v>
      </c>
      <c r="J98" s="45">
        <f t="shared" si="60"/>
        <v>218.40670787306408</v>
      </c>
      <c r="K98" s="16">
        <v>1785</v>
      </c>
      <c r="L98" s="16">
        <f t="shared" si="61"/>
        <v>1816.2244218567303</v>
      </c>
      <c r="M98" s="16">
        <f t="shared" si="61"/>
        <v>2035.103331861362</v>
      </c>
      <c r="N98" s="16">
        <f t="shared" si="61"/>
        <v>2231.8475395216233</v>
      </c>
      <c r="O98" s="45">
        <f t="shared" si="62"/>
        <v>446.84753952162328</v>
      </c>
      <c r="P98" s="16">
        <v>297.81277891641412</v>
      </c>
      <c r="Q98" s="16">
        <f>SUM('[1]2013 Employment'!AM97)-'[1]2013 Employment'!O97 +P98 *0.99</f>
        <v>568.28424790144356</v>
      </c>
      <c r="R98" s="16">
        <f>SUM('[1]2013 Employment'!BK97-'[1]2013 Employment'!AM97) + Q98</f>
        <v>701.70924790144352</v>
      </c>
      <c r="S98" s="16">
        <f>SUM('[1]2013 Employment'!CI97-'[1]2013 Employment'!BK97) +R98 -30</f>
        <v>712.1042479014435</v>
      </c>
      <c r="T98" s="45">
        <f t="shared" si="63"/>
        <v>414.29146898502938</v>
      </c>
      <c r="U98" s="17">
        <v>6</v>
      </c>
      <c r="W98" s="13">
        <v>2.7546296296296298</v>
      </c>
      <c r="X98" s="13">
        <v>2.6398610782801311</v>
      </c>
      <c r="Y98" s="13">
        <v>2.6184953031321485</v>
      </c>
      <c r="Z98" s="13">
        <v>2.5759813713822353</v>
      </c>
    </row>
    <row r="99" spans="1:26">
      <c r="A99" s="23" t="s">
        <v>88</v>
      </c>
      <c r="B99" s="24" t="s">
        <v>5</v>
      </c>
      <c r="C99" s="16">
        <v>448</v>
      </c>
      <c r="D99" s="16">
        <v>729.81999999999994</v>
      </c>
      <c r="E99" s="16">
        <v>1015.91</v>
      </c>
      <c r="F99" s="16">
        <v>1302</v>
      </c>
      <c r="G99" s="16">
        <v>695</v>
      </c>
      <c r="H99" s="16">
        <f t="shared" si="59"/>
        <v>723.25</v>
      </c>
      <c r="I99" s="16">
        <f>SUM(F99*0.75)-225</f>
        <v>751.5</v>
      </c>
      <c r="J99" s="45">
        <f t="shared" si="60"/>
        <v>303.5</v>
      </c>
      <c r="K99" s="16">
        <v>1177</v>
      </c>
      <c r="L99" s="16">
        <f t="shared" si="61"/>
        <v>1756.1393937628457</v>
      </c>
      <c r="M99" s="16">
        <f t="shared" si="61"/>
        <v>1832.560188524272</v>
      </c>
      <c r="N99" s="16">
        <f t="shared" si="61"/>
        <v>1882.0924900959722</v>
      </c>
      <c r="O99" s="45">
        <f t="shared" si="62"/>
        <v>705.09249009597215</v>
      </c>
      <c r="P99" s="16">
        <v>40.574347826086964</v>
      </c>
      <c r="Q99" s="16">
        <f>SUM('[1]2013 Employment'!AM98)-'[1]2013 Employment'!O98 +P99 *0.99</f>
        <v>108.07425652173913</v>
      </c>
      <c r="R99" s="16">
        <f>SUM('[1]2013 Employment'!BK98-'[1]2013 Employment'!AM98) + Q99</f>
        <v>156.07925652173913</v>
      </c>
      <c r="S99" s="16">
        <f>SUM('[1]2013 Employment'!CI98-'[1]2013 Employment'!BK98) +R99 -26</f>
        <v>177.71425652173915</v>
      </c>
      <c r="T99" s="45">
        <f t="shared" si="63"/>
        <v>137.1399086956522</v>
      </c>
      <c r="U99" s="17">
        <v>196</v>
      </c>
      <c r="W99" s="13">
        <v>2.6272321428571428</v>
      </c>
      <c r="X99" s="13">
        <v>2.5268192716012168</v>
      </c>
      <c r="Y99" s="13">
        <v>2.5337852589343548</v>
      </c>
      <c r="Z99" s="13">
        <v>2.5044477579454054</v>
      </c>
    </row>
    <row r="100" spans="1:26">
      <c r="A100" s="23" t="s">
        <v>89</v>
      </c>
      <c r="B100" s="24" t="s">
        <v>5</v>
      </c>
      <c r="C100" s="16">
        <v>395</v>
      </c>
      <c r="D100" s="16">
        <v>675.23809216189488</v>
      </c>
      <c r="E100" s="16">
        <v>959.72221602321247</v>
      </c>
      <c r="F100" s="16">
        <v>1244.2063398845301</v>
      </c>
      <c r="G100" s="16">
        <v>592</v>
      </c>
      <c r="H100" s="16">
        <f>SUM(I100-G100)/2 +G100 +80</f>
        <v>865.12459935265724</v>
      </c>
      <c r="I100" s="16">
        <f>SUM(F100*0.82) -42</f>
        <v>978.2491987053146</v>
      </c>
      <c r="J100" s="45">
        <f t="shared" si="60"/>
        <v>583.2491987053146</v>
      </c>
      <c r="K100" s="16">
        <v>984</v>
      </c>
      <c r="L100" s="16">
        <f t="shared" si="61"/>
        <v>1444.420107392225</v>
      </c>
      <c r="M100" s="16">
        <f t="shared" si="61"/>
        <v>2139.4501145794443</v>
      </c>
      <c r="N100" s="16">
        <f t="shared" si="61"/>
        <v>2402.939802948481</v>
      </c>
      <c r="O100" s="45">
        <f t="shared" si="62"/>
        <v>1418.939802948481</v>
      </c>
      <c r="P100" s="16">
        <v>288.11597269624576</v>
      </c>
      <c r="Q100" s="16">
        <f>SUM('[1]2013 Employment'!AM99)-'[1]2013 Employment'!O99 +P100 *0.9</f>
        <v>767.71257474173672</v>
      </c>
      <c r="R100" s="16">
        <f>SUM('[1]2013 Employment'!BK99-'[1]2013 Employment'!AM99) + Q100 -6</f>
        <v>864.75257474173668</v>
      </c>
      <c r="S100" s="16">
        <f>SUM('[1]2013 Employment'!CI99-'[1]2013 Employment'!BK99) +R100 -94</f>
        <v>931.2325747417367</v>
      </c>
      <c r="T100" s="45">
        <f t="shared" si="63"/>
        <v>643.11660204549094</v>
      </c>
      <c r="U100" s="17"/>
      <c r="W100" s="13">
        <v>2.4911392405063291</v>
      </c>
      <c r="X100" s="13">
        <v>2.439898830054434</v>
      </c>
      <c r="Y100" s="13">
        <v>2.4729965096129747</v>
      </c>
      <c r="Z100" s="13">
        <v>2.4563677702253215</v>
      </c>
    </row>
    <row r="101" spans="1:26">
      <c r="A101" s="23" t="s">
        <v>90</v>
      </c>
      <c r="B101" s="24" t="s">
        <v>5</v>
      </c>
      <c r="C101" s="16">
        <v>215</v>
      </c>
      <c r="D101" s="16">
        <v>319.64117386456149</v>
      </c>
      <c r="E101" s="16">
        <v>425.86782006040426</v>
      </c>
      <c r="F101" s="16">
        <v>532.09446625624696</v>
      </c>
      <c r="G101" s="16">
        <v>225</v>
      </c>
      <c r="H101" s="16">
        <f t="shared" si="59"/>
        <v>251.03542484609261</v>
      </c>
      <c r="I101" s="16">
        <f>SUM(F101*0.75)-122</f>
        <v>277.07084969218522</v>
      </c>
      <c r="J101" s="45">
        <f t="shared" si="60"/>
        <v>62.07084969218522</v>
      </c>
      <c r="K101" s="16">
        <v>538</v>
      </c>
      <c r="L101" s="16">
        <f t="shared" si="61"/>
        <v>546.82683111104177</v>
      </c>
      <c r="M101" s="16">
        <f t="shared" si="61"/>
        <v>617.69189339231616</v>
      </c>
      <c r="N101" s="16">
        <f t="shared" si="61"/>
        <v>678.41823842292331</v>
      </c>
      <c r="O101" s="45">
        <f t="shared" si="62"/>
        <v>140.41823842292331</v>
      </c>
      <c r="P101" s="16">
        <v>110.61918238993711</v>
      </c>
      <c r="Q101" s="16">
        <f>SUM('[1]2013 Employment'!AM100)-'[1]2013 Employment'!O100 +P101 *0.99</f>
        <v>242.97380817610065</v>
      </c>
      <c r="R101" s="16">
        <f>SUM('[1]2013 Employment'!BK100-'[1]2013 Employment'!AM100) + Q101</f>
        <v>284.24880817610062</v>
      </c>
      <c r="S101" s="16">
        <f>SUM('[1]2013 Employment'!CI100-'[1]2013 Employment'!BK100) +R101 -20</f>
        <v>299.6538081761006</v>
      </c>
      <c r="T101" s="45">
        <f t="shared" si="63"/>
        <v>189.03462578616347</v>
      </c>
      <c r="U101" s="17"/>
      <c r="W101" s="13">
        <v>2.5023255813953487</v>
      </c>
      <c r="X101" s="13">
        <v>2.4303414716046299</v>
      </c>
      <c r="Y101" s="13">
        <v>2.4605766049593085</v>
      </c>
      <c r="Z101" s="13">
        <v>2.4485370408926785</v>
      </c>
    </row>
    <row r="102" spans="1:26">
      <c r="A102" s="23" t="s">
        <v>91</v>
      </c>
      <c r="B102" s="24" t="s">
        <v>5</v>
      </c>
      <c r="C102" s="16">
        <v>1209</v>
      </c>
      <c r="D102" s="16">
        <v>1544.94</v>
      </c>
      <c r="E102" s="16">
        <v>1985.97</v>
      </c>
      <c r="F102" s="16">
        <v>2227</v>
      </c>
      <c r="G102" s="16">
        <f>SUM(((I102-F102)/I102) *D102) +D102 +120</f>
        <v>1200.2650449166504</v>
      </c>
      <c r="H102" s="16">
        <f>SUM(I102-G102)/2 +G102 +62</f>
        <v>1518.1625224583254</v>
      </c>
      <c r="I102" s="16">
        <f>SUM(F102*0.78) -25</f>
        <v>1712.0600000000002</v>
      </c>
      <c r="J102" s="45">
        <f t="shared" si="60"/>
        <v>503.06000000000017</v>
      </c>
      <c r="K102" s="16">
        <v>3630</v>
      </c>
      <c r="L102" s="16">
        <f t="shared" si="61"/>
        <v>3440.5911253027116</v>
      </c>
      <c r="M102" s="16">
        <f t="shared" si="61"/>
        <v>4245.6625474572493</v>
      </c>
      <c r="N102" s="16">
        <f t="shared" si="61"/>
        <v>4714.4770195267611</v>
      </c>
      <c r="O102" s="45">
        <f t="shared" si="62"/>
        <v>1084.4770195267611</v>
      </c>
      <c r="P102" s="16">
        <v>70.731428571428566</v>
      </c>
      <c r="Q102" s="16">
        <f>SUM('[1]2013 Employment'!AM101)-'[1]2013 Employment'!O101 +P102 *0.99</f>
        <v>175.57268571428571</v>
      </c>
      <c r="R102" s="16">
        <f>SUM('[1]2013 Employment'!BK101-'[1]2013 Employment'!AM101) + Q102</f>
        <v>220.2126857142857</v>
      </c>
      <c r="S102" s="16">
        <f>SUM('[1]2013 Employment'!CI101-'[1]2013 Employment'!BK101) +R102 -50</f>
        <v>221.45268571428568</v>
      </c>
      <c r="T102" s="45">
        <f t="shared" si="63"/>
        <v>150.7212571428571</v>
      </c>
      <c r="U102" s="17">
        <v>928</v>
      </c>
      <c r="W102" s="13">
        <v>3.0024813895781639</v>
      </c>
      <c r="X102" s="13">
        <v>2.8665261392675445</v>
      </c>
      <c r="Y102" s="13">
        <v>2.7965797367875651</v>
      </c>
      <c r="Z102" s="13">
        <v>2.7536867980834554</v>
      </c>
    </row>
    <row r="103" spans="1:26" ht="13.5" thickBot="1">
      <c r="A103" s="1"/>
      <c r="B103" s="2" t="s">
        <v>10</v>
      </c>
      <c r="C103" s="10">
        <f t="shared" ref="C103:I103" si="64">SUM(C96:C102)</f>
        <v>4329</v>
      </c>
      <c r="D103" s="10">
        <f t="shared" si="64"/>
        <v>6131.8504174906047</v>
      </c>
      <c r="E103" s="10">
        <f t="shared" si="64"/>
        <v>8162.0167503977336</v>
      </c>
      <c r="F103" s="10">
        <f t="shared" si="64"/>
        <v>9792.1830833048625</v>
      </c>
      <c r="G103" s="10">
        <f t="shared" si="64"/>
        <v>5014.2650449166504</v>
      </c>
      <c r="H103" s="10">
        <f t="shared" si="64"/>
        <v>5895.7285005936064</v>
      </c>
      <c r="I103" s="10">
        <f t="shared" si="64"/>
        <v>6493.1919562705643</v>
      </c>
      <c r="J103" s="10">
        <f>SUM(J96:J102)</f>
        <v>2164.1919562705643</v>
      </c>
      <c r="K103" s="3">
        <f>SUM(K96:K102)</f>
        <v>11899</v>
      </c>
      <c r="L103" s="3">
        <f t="shared" ref="L103:T103" si="65">SUM(L96:L102)</f>
        <v>13201.596758933907</v>
      </c>
      <c r="M103" s="3">
        <f t="shared" si="65"/>
        <v>15444.879786387173</v>
      </c>
      <c r="N103" s="3">
        <f t="shared" si="65"/>
        <v>16823.716346460027</v>
      </c>
      <c r="O103" s="3">
        <f t="shared" si="65"/>
        <v>4924.7163464600289</v>
      </c>
      <c r="P103" s="3">
        <f t="shared" si="65"/>
        <v>4181.3954317398029</v>
      </c>
      <c r="Q103" s="3">
        <f t="shared" si="65"/>
        <v>6118.3720754094738</v>
      </c>
      <c r="R103" s="3">
        <f t="shared" si="65"/>
        <v>7225.4320754094733</v>
      </c>
      <c r="S103" s="3">
        <f t="shared" si="65"/>
        <v>7426.3120754094734</v>
      </c>
      <c r="T103" s="10">
        <f t="shared" si="65"/>
        <v>3244.916643669671</v>
      </c>
      <c r="U103" s="3"/>
      <c r="W103" s="13">
        <v>2.7486717486717485</v>
      </c>
      <c r="X103" s="13">
        <v>2.6349654356880783</v>
      </c>
      <c r="Y103" s="13">
        <v>2.6142186220725585</v>
      </c>
      <c r="Z103" s="13">
        <v>2.5786012220488259</v>
      </c>
    </row>
    <row r="104" spans="1:26" s="22" customFormat="1" ht="14.25" thickTop="1" thickBot="1">
      <c r="A104" s="18"/>
      <c r="B104" s="19"/>
      <c r="C104" s="21"/>
      <c r="D104" s="21"/>
      <c r="E104" s="21"/>
      <c r="F104" s="21">
        <v>6648.2580315000014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0"/>
      <c r="W104" s="13"/>
      <c r="X104" s="13"/>
      <c r="Y104" s="13"/>
      <c r="Z104" s="13"/>
    </row>
    <row r="105" spans="1:26" ht="35.25" customHeight="1" thickTop="1">
      <c r="A105" s="5" t="s">
        <v>0</v>
      </c>
      <c r="B105" s="4" t="s">
        <v>11</v>
      </c>
      <c r="C105" s="4" t="s">
        <v>134</v>
      </c>
      <c r="D105" s="4" t="s">
        <v>103</v>
      </c>
      <c r="E105" s="4" t="s">
        <v>104</v>
      </c>
      <c r="F105" s="4" t="s">
        <v>105</v>
      </c>
      <c r="G105" s="4" t="s">
        <v>137</v>
      </c>
      <c r="H105" s="4" t="s">
        <v>136</v>
      </c>
      <c r="I105" s="4" t="s">
        <v>135</v>
      </c>
      <c r="J105" s="12" t="s">
        <v>102</v>
      </c>
      <c r="K105" s="4" t="s">
        <v>130</v>
      </c>
      <c r="L105" s="4" t="s">
        <v>131</v>
      </c>
      <c r="M105" s="4" t="s">
        <v>132</v>
      </c>
      <c r="N105" s="4" t="s">
        <v>133</v>
      </c>
      <c r="O105" s="12" t="s">
        <v>138</v>
      </c>
      <c r="P105" s="4" t="s">
        <v>127</v>
      </c>
      <c r="Q105" s="4" t="s">
        <v>126</v>
      </c>
      <c r="R105" s="4" t="s">
        <v>128</v>
      </c>
      <c r="S105" s="4" t="s">
        <v>129</v>
      </c>
      <c r="T105" s="12" t="s">
        <v>139</v>
      </c>
      <c r="U105" s="4" t="s">
        <v>101</v>
      </c>
    </row>
    <row r="106" spans="1:26">
      <c r="A106" s="23" t="s">
        <v>92</v>
      </c>
      <c r="B106" s="24" t="s">
        <v>7</v>
      </c>
      <c r="C106" s="16">
        <v>862</v>
      </c>
      <c r="D106" s="16">
        <v>936.91</v>
      </c>
      <c r="E106" s="16">
        <v>1012.9549999999999</v>
      </c>
      <c r="F106" s="16">
        <v>1089</v>
      </c>
      <c r="G106" s="16">
        <v>867.05074656288411</v>
      </c>
      <c r="H106" s="16">
        <v>890.58037328144201</v>
      </c>
      <c r="I106" s="16">
        <f>SUM(F106*0.99)-114</f>
        <v>964.1099999999999</v>
      </c>
      <c r="J106" s="45">
        <f>SUM(I106-C106)</f>
        <v>102.1099999999999</v>
      </c>
      <c r="K106" s="16">
        <v>2606</v>
      </c>
      <c r="L106" s="16">
        <f t="shared" ref="L106:N107" si="66">SUM(G106*X106)</f>
        <v>2577.4078002547963</v>
      </c>
      <c r="M106" s="16">
        <f t="shared" si="66"/>
        <v>2627.2777376670006</v>
      </c>
      <c r="N106" s="16">
        <f t="shared" si="66"/>
        <v>2814.8312828345097</v>
      </c>
      <c r="O106" s="45">
        <f t="shared" ref="O106:O107" si="67">SUM(N106-K106)</f>
        <v>208.83128283450969</v>
      </c>
      <c r="P106" s="16">
        <v>294.00664152141979</v>
      </c>
      <c r="Q106" s="16">
        <f>SUM('[1]2013 Employment'!AM105)-'[1]2013 Employment'!O105 +P106</f>
        <v>321.27500000000003</v>
      </c>
      <c r="R106" s="16">
        <f>SUM('[1]2013 Employment'!BK105-'[1]2013 Employment'!AM105) + Q106</f>
        <v>331.38</v>
      </c>
      <c r="S106" s="16">
        <f>SUM('[1]2013 Employment'!CI105-'[1]2013 Employment'!BK105) +R106</f>
        <v>369.36</v>
      </c>
      <c r="T106" s="45">
        <f t="shared" ref="T106:T107" si="68">SUM(S106-P106)</f>
        <v>75.353358478580219</v>
      </c>
      <c r="U106" s="17">
        <v>87</v>
      </c>
      <c r="W106" s="13">
        <v>3.0232018561484919</v>
      </c>
      <c r="X106" s="13">
        <v>2.9726147062003205</v>
      </c>
      <c r="Y106" s="13">
        <v>2.9500737008008664</v>
      </c>
      <c r="Z106" s="13">
        <v>2.9196163122823227</v>
      </c>
    </row>
    <row r="107" spans="1:26">
      <c r="A107" s="23" t="s">
        <v>93</v>
      </c>
      <c r="B107" s="24" t="s">
        <v>7</v>
      </c>
      <c r="C107" s="16">
        <v>590</v>
      </c>
      <c r="D107" s="16">
        <v>660.62</v>
      </c>
      <c r="E107" s="16">
        <v>732.31</v>
      </c>
      <c r="F107" s="16">
        <v>804</v>
      </c>
      <c r="G107" s="16">
        <v>594.3490573012939</v>
      </c>
      <c r="H107" s="16">
        <v>640.05452865064694</v>
      </c>
      <c r="I107" s="16">
        <f>SUM(F107*0.94) -50</f>
        <v>705.76</v>
      </c>
      <c r="J107" s="45">
        <f>SUM(I107-C107)</f>
        <v>115.75999999999999</v>
      </c>
      <c r="K107" s="16">
        <v>1558</v>
      </c>
      <c r="L107" s="16">
        <f t="shared" si="66"/>
        <v>1552.110437379971</v>
      </c>
      <c r="M107" s="16">
        <f t="shared" si="66"/>
        <v>1673.6540435342215</v>
      </c>
      <c r="N107" s="16">
        <f t="shared" si="66"/>
        <v>1837.5714214659474</v>
      </c>
      <c r="O107" s="45">
        <f t="shared" si="67"/>
        <v>279.57142146594742</v>
      </c>
      <c r="P107" s="16">
        <v>37.291495601173033</v>
      </c>
      <c r="Q107" s="16">
        <f>SUM('[1]2013 Employment'!AM106)-'[1]2013 Employment'!O106 +P107</f>
        <v>66</v>
      </c>
      <c r="R107" s="16">
        <f>SUM('[1]2013 Employment'!BK106-'[1]2013 Employment'!AM106) + Q107</f>
        <v>82.844999999999999</v>
      </c>
      <c r="S107" s="16">
        <f>SUM('[1]2013 Employment'!CI106-'[1]2013 Employment'!BK106) +R107</f>
        <v>87.48</v>
      </c>
      <c r="T107" s="45">
        <f t="shared" si="68"/>
        <v>50.188504398826971</v>
      </c>
      <c r="U107" s="17">
        <v>195</v>
      </c>
      <c r="W107" s="13">
        <v>2.6406779661016948</v>
      </c>
      <c r="X107" s="13">
        <v>2.6114459479880328</v>
      </c>
      <c r="Y107" s="13">
        <v>2.6148616541509253</v>
      </c>
      <c r="Z107" s="13">
        <v>2.6036774845074069</v>
      </c>
    </row>
    <row r="108" spans="1:26" ht="13.5" thickBot="1">
      <c r="A108" s="1"/>
      <c r="B108" s="2" t="s">
        <v>10</v>
      </c>
      <c r="C108" s="10">
        <f t="shared" ref="C108:I108" si="69">SUM(C106:C107)</f>
        <v>1452</v>
      </c>
      <c r="D108" s="10">
        <f t="shared" si="69"/>
        <v>1597.53</v>
      </c>
      <c r="E108" s="10">
        <f t="shared" si="69"/>
        <v>1745.2649999999999</v>
      </c>
      <c r="F108" s="10">
        <f t="shared" si="69"/>
        <v>1893</v>
      </c>
      <c r="G108" s="10">
        <f t="shared" si="69"/>
        <v>1461.399803864178</v>
      </c>
      <c r="H108" s="10">
        <f t="shared" si="69"/>
        <v>1530.634901932089</v>
      </c>
      <c r="I108" s="10">
        <f t="shared" si="69"/>
        <v>1669.87</v>
      </c>
      <c r="J108" s="10">
        <f>SUM(J106:J107)</f>
        <v>217.86999999999989</v>
      </c>
      <c r="K108" s="3">
        <f>SUM(K106:K107)</f>
        <v>4164</v>
      </c>
      <c r="L108" s="3">
        <f t="shared" ref="L108:T108" si="70">SUM(L106:L107)</f>
        <v>4129.5182376347675</v>
      </c>
      <c r="M108" s="3">
        <f t="shared" si="70"/>
        <v>4300.9317812012223</v>
      </c>
      <c r="N108" s="3">
        <f t="shared" si="70"/>
        <v>4652.4027043004571</v>
      </c>
      <c r="O108" s="3">
        <f t="shared" si="70"/>
        <v>488.40270430045712</v>
      </c>
      <c r="P108" s="3">
        <f t="shared" si="70"/>
        <v>331.29813712259283</v>
      </c>
      <c r="Q108" s="3">
        <f t="shared" si="70"/>
        <v>387.27500000000003</v>
      </c>
      <c r="R108" s="3">
        <f t="shared" si="70"/>
        <v>414.22500000000002</v>
      </c>
      <c r="S108" s="3">
        <f t="shared" si="70"/>
        <v>456.84000000000003</v>
      </c>
      <c r="T108" s="10">
        <f t="shared" si="70"/>
        <v>125.5418628774072</v>
      </c>
      <c r="U108" s="3"/>
      <c r="W108" s="13">
        <v>2.8677685950413223</v>
      </c>
      <c r="X108" s="13">
        <v>2.8232620774232697</v>
      </c>
      <c r="Y108" s="13">
        <v>2.8094193394962974</v>
      </c>
      <c r="Z108" s="13">
        <v>2.7854299321814078</v>
      </c>
    </row>
    <row r="109" spans="1:26" s="22" customFormat="1" ht="14.25" thickTop="1" thickBot="1">
      <c r="A109" s="18"/>
      <c r="B109" s="19"/>
      <c r="C109" s="21"/>
      <c r="D109" s="21"/>
      <c r="E109" s="21"/>
      <c r="F109" s="21">
        <v>1836.5591999999999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0"/>
      <c r="W109" s="13"/>
      <c r="X109" s="13"/>
      <c r="Y109" s="13"/>
      <c r="Z109" s="13"/>
    </row>
    <row r="110" spans="1:26" ht="27" customHeight="1" thickTop="1">
      <c r="A110" s="5" t="s">
        <v>0</v>
      </c>
      <c r="B110" s="4" t="s">
        <v>11</v>
      </c>
      <c r="C110" s="4" t="s">
        <v>134</v>
      </c>
      <c r="D110" s="4" t="s">
        <v>103</v>
      </c>
      <c r="E110" s="4" t="s">
        <v>104</v>
      </c>
      <c r="F110" s="4" t="s">
        <v>105</v>
      </c>
      <c r="G110" s="4" t="s">
        <v>137</v>
      </c>
      <c r="H110" s="4" t="s">
        <v>136</v>
      </c>
      <c r="I110" s="4" t="s">
        <v>135</v>
      </c>
      <c r="J110" s="12" t="s">
        <v>102</v>
      </c>
      <c r="K110" s="4" t="s">
        <v>130</v>
      </c>
      <c r="L110" s="4" t="s">
        <v>131</v>
      </c>
      <c r="M110" s="4" t="s">
        <v>132</v>
      </c>
      <c r="N110" s="4" t="s">
        <v>133</v>
      </c>
      <c r="O110" s="12" t="s">
        <v>138</v>
      </c>
      <c r="P110" s="4" t="s">
        <v>127</v>
      </c>
      <c r="Q110" s="4" t="s">
        <v>126</v>
      </c>
      <c r="R110" s="4" t="s">
        <v>128</v>
      </c>
      <c r="S110" s="4" t="s">
        <v>129</v>
      </c>
      <c r="T110" s="12" t="s">
        <v>139</v>
      </c>
      <c r="U110" s="4" t="s">
        <v>101</v>
      </c>
      <c r="W110" s="13" t="e">
        <v>#VALUE!</v>
      </c>
      <c r="X110" s="13" t="e">
        <v>#VALUE!</v>
      </c>
      <c r="Y110" s="13" t="e">
        <v>#VALUE!</v>
      </c>
      <c r="Z110" s="13" t="e">
        <v>#VALUE!</v>
      </c>
    </row>
    <row r="111" spans="1:26">
      <c r="A111" s="14" t="s">
        <v>94</v>
      </c>
      <c r="B111" s="15" t="s">
        <v>4</v>
      </c>
      <c r="C111" s="16">
        <v>712</v>
      </c>
      <c r="D111" s="16">
        <v>744.73533999999995</v>
      </c>
      <c r="E111" s="16">
        <v>777.96667000000002</v>
      </c>
      <c r="F111" s="16">
        <v>811.19799999999998</v>
      </c>
      <c r="G111" s="16">
        <f t="shared" ref="G111:G114" si="71">SUM(((I111-F111)/I111) *D111) +D111</f>
        <v>721.70228824742253</v>
      </c>
      <c r="H111" s="16">
        <f t="shared" ref="H111:H114" si="72">SUM(I111-G111)/2 +G111</f>
        <v>754.28217412371123</v>
      </c>
      <c r="I111" s="16">
        <f>SUM(F111*0.97)</f>
        <v>786.86205999999993</v>
      </c>
      <c r="J111" s="45">
        <f>SUM(I111-C111)</f>
        <v>74.862059999999929</v>
      </c>
      <c r="K111" s="16">
        <v>2111</v>
      </c>
      <c r="L111" s="16">
        <f t="shared" ref="L111:N114" si="73">SUM(G111*X111)</f>
        <v>2126.7462997631142</v>
      </c>
      <c r="M111" s="16">
        <f t="shared" si="73"/>
        <v>2219.8159332432901</v>
      </c>
      <c r="N111" s="16">
        <f t="shared" si="73"/>
        <v>2307.4250753754204</v>
      </c>
      <c r="O111" s="45">
        <f t="shared" ref="O111:O114" si="74">SUM(N111-K111)</f>
        <v>196.42507537542042</v>
      </c>
      <c r="P111" s="16">
        <v>206.33718119481028</v>
      </c>
      <c r="Q111" s="16">
        <f>SUM('[1]2013 Employment'!AM110)-'[1]2013 Employment'!O110 +P111</f>
        <v>244.04712643678164</v>
      </c>
      <c r="R111" s="16">
        <f>SUM('[1]2013 Employment'!BK110-'[1]2013 Employment'!AM110) + Q111</f>
        <v>257.2821264367816</v>
      </c>
      <c r="S111" s="16">
        <f>SUM('[1]2013 Employment'!CI110-'[1]2013 Employment'!BK110) +R111</f>
        <v>271.18712643678157</v>
      </c>
      <c r="T111" s="45">
        <f t="shared" ref="T111:T114" si="75">SUM(S111-P111)</f>
        <v>64.849945241971284</v>
      </c>
      <c r="U111" s="17" t="s">
        <v>111</v>
      </c>
      <c r="W111" s="13">
        <v>2.9648876404494384</v>
      </c>
      <c r="X111" s="13">
        <v>2.9468471063431045</v>
      </c>
      <c r="Y111" s="13">
        <v>2.9429516027236966</v>
      </c>
      <c r="Z111" s="13">
        <v>2.9324391054963566</v>
      </c>
    </row>
    <row r="112" spans="1:26">
      <c r="A112" s="14" t="s">
        <v>95</v>
      </c>
      <c r="B112" s="15" t="s">
        <v>4</v>
      </c>
      <c r="C112" s="16">
        <v>231</v>
      </c>
      <c r="D112" s="16">
        <v>256.08</v>
      </c>
      <c r="E112" s="16">
        <v>281.53999999999996</v>
      </c>
      <c r="F112" s="16">
        <v>307</v>
      </c>
      <c r="G112" s="16">
        <f t="shared" si="71"/>
        <v>248.15999999999994</v>
      </c>
      <c r="H112" s="16">
        <f t="shared" si="72"/>
        <v>272.97499999999997</v>
      </c>
      <c r="I112" s="16">
        <f>SUM(F112*0.97)</f>
        <v>297.78999999999996</v>
      </c>
      <c r="J112" s="45">
        <f>SUM(I112-C112)</f>
        <v>66.789999999999964</v>
      </c>
      <c r="K112" s="16">
        <v>725</v>
      </c>
      <c r="L112" s="16">
        <f t="shared" si="73"/>
        <v>764.58132972271369</v>
      </c>
      <c r="M112" s="16">
        <f t="shared" si="73"/>
        <v>835.38212262404045</v>
      </c>
      <c r="N112" s="16">
        <f t="shared" si="73"/>
        <v>902.00195118598765</v>
      </c>
      <c r="O112" s="45">
        <f t="shared" si="74"/>
        <v>177.00195118598765</v>
      </c>
      <c r="P112" s="16">
        <v>47.922102564102566</v>
      </c>
      <c r="Q112" s="16">
        <f>SUM('[1]2013 Employment'!AM111)-'[1]2013 Employment'!O111 +P112</f>
        <v>57.25</v>
      </c>
      <c r="R112" s="16">
        <f>SUM('[1]2013 Employment'!BK111-'[1]2013 Employment'!AM111) + Q112</f>
        <v>62.627499999999998</v>
      </c>
      <c r="S112" s="16">
        <f>SUM('[1]2013 Employment'!CI111-'[1]2013 Employment'!BK111) +R112</f>
        <v>65.460000000000008</v>
      </c>
      <c r="T112" s="45">
        <f t="shared" si="75"/>
        <v>17.537897435897442</v>
      </c>
      <c r="U112" s="17">
        <v>16</v>
      </c>
      <c r="W112" s="13">
        <v>3.1385281385281387</v>
      </c>
      <c r="X112" s="13">
        <v>3.081001489856197</v>
      </c>
      <c r="Y112" s="13">
        <v>3.0602880213354355</v>
      </c>
      <c r="Z112" s="13">
        <v>3.0289867060209805</v>
      </c>
    </row>
    <row r="113" spans="1:26">
      <c r="A113" s="23" t="s">
        <v>96</v>
      </c>
      <c r="B113" s="24" t="s">
        <v>4</v>
      </c>
      <c r="C113" s="16">
        <v>558</v>
      </c>
      <c r="D113" s="16">
        <v>604.99830774324676</v>
      </c>
      <c r="E113" s="16">
        <v>652.7087110583609</v>
      </c>
      <c r="F113" s="16">
        <v>700.41911437347505</v>
      </c>
      <c r="G113" s="16">
        <f t="shared" si="71"/>
        <v>576.96966849775754</v>
      </c>
      <c r="H113" s="16">
        <f t="shared" si="72"/>
        <v>623.18810472001417</v>
      </c>
      <c r="I113" s="16">
        <f>SUM(F113*0.97) -10</f>
        <v>669.40654094227079</v>
      </c>
      <c r="J113" s="45">
        <f>SUM(I113-C113)</f>
        <v>111.40654094227079</v>
      </c>
      <c r="K113" s="16">
        <v>1632</v>
      </c>
      <c r="L113" s="16">
        <f t="shared" si="73"/>
        <v>1673.7672459356336</v>
      </c>
      <c r="M113" s="16">
        <f t="shared" si="73"/>
        <v>1809.0553986027537</v>
      </c>
      <c r="N113" s="16">
        <f t="shared" si="73"/>
        <v>1936.4311717820192</v>
      </c>
      <c r="O113" s="45">
        <f t="shared" si="74"/>
        <v>304.43117178201919</v>
      </c>
      <c r="P113" s="16">
        <v>437.96015008409859</v>
      </c>
      <c r="Q113" s="16">
        <f>SUM('[1]2013 Employment'!AM112)-'[1]2013 Employment'!O112 +P113</f>
        <v>516.62566585956392</v>
      </c>
      <c r="R113" s="16">
        <f>SUM('[1]2013 Employment'!BK112-'[1]2013 Employment'!AM112) + Q113</f>
        <v>534.51066585956391</v>
      </c>
      <c r="S113" s="16">
        <f>SUM('[1]2013 Employment'!CI112-'[1]2013 Employment'!BK112) +R113</f>
        <v>563.86566585956393</v>
      </c>
      <c r="T113" s="45">
        <f t="shared" si="75"/>
        <v>125.90551577546535</v>
      </c>
      <c r="U113" s="17">
        <v>60</v>
      </c>
      <c r="W113" s="13">
        <v>2.924731182795699</v>
      </c>
      <c r="X113" s="13">
        <v>2.9009622815937313</v>
      </c>
      <c r="Y113" s="13">
        <v>2.9029042513825352</v>
      </c>
      <c r="Z113" s="13">
        <v>2.8927580675507856</v>
      </c>
    </row>
    <row r="114" spans="1:26">
      <c r="A114" s="14" t="s">
        <v>97</v>
      </c>
      <c r="B114" s="15" t="s">
        <v>4</v>
      </c>
      <c r="C114" s="16">
        <v>160</v>
      </c>
      <c r="D114" s="16">
        <v>186.4</v>
      </c>
      <c r="E114" s="16">
        <v>213.2</v>
      </c>
      <c r="F114" s="16">
        <v>240</v>
      </c>
      <c r="G114" s="16">
        <f t="shared" si="71"/>
        <v>180.63505154639174</v>
      </c>
      <c r="H114" s="16">
        <f t="shared" si="72"/>
        <v>206.71752577319586</v>
      </c>
      <c r="I114" s="16">
        <f>SUM(F114*0.97)</f>
        <v>232.79999999999998</v>
      </c>
      <c r="J114" s="45">
        <f>SUM(I114-C114)</f>
        <v>72.799999999999983</v>
      </c>
      <c r="K114" s="16">
        <v>571</v>
      </c>
      <c r="L114" s="16">
        <f t="shared" si="73"/>
        <v>617.60715941501235</v>
      </c>
      <c r="M114" s="16">
        <f t="shared" si="73"/>
        <v>690.91232001254082</v>
      </c>
      <c r="N114" s="16">
        <f t="shared" si="73"/>
        <v>759.87574581067622</v>
      </c>
      <c r="O114" s="45">
        <f t="shared" si="74"/>
        <v>188.87574581067622</v>
      </c>
      <c r="P114" s="16">
        <v>467.09974685896054</v>
      </c>
      <c r="Q114" s="16">
        <f>SUM('[1]2013 Employment'!AM113)-'[1]2013 Employment'!O113 +P114</f>
        <v>516.12095032397372</v>
      </c>
      <c r="R114" s="16">
        <f>SUM('[1]2013 Employment'!BK113-'[1]2013 Employment'!AM113) + Q114</f>
        <v>521.99845032397366</v>
      </c>
      <c r="S114" s="16">
        <f>SUM('[1]2013 Employment'!CI113-'[1]2013 Employment'!BK113) +R114</f>
        <v>547.1209503239736</v>
      </c>
      <c r="T114" s="45">
        <f t="shared" si="75"/>
        <v>80.021203465013059</v>
      </c>
      <c r="U114" s="17" t="s">
        <v>112</v>
      </c>
      <c r="W114" s="13">
        <v>3.5687500000000001</v>
      </c>
      <c r="X114" s="13">
        <v>3.4190881234165946</v>
      </c>
      <c r="Y114" s="13">
        <v>3.3423016138969692</v>
      </c>
      <c r="Z114" s="13">
        <v>3.2640710730699154</v>
      </c>
    </row>
    <row r="115" spans="1:26" ht="12.75" customHeight="1">
      <c r="A115" s="46"/>
      <c r="B115" s="46" t="s">
        <v>10</v>
      </c>
      <c r="C115" s="48">
        <f t="shared" ref="C115:I115" si="76">SUM(C111:C114)</f>
        <v>1661</v>
      </c>
      <c r="D115" s="48">
        <f t="shared" si="76"/>
        <v>1792.2136477432468</v>
      </c>
      <c r="E115" s="48">
        <f t="shared" si="76"/>
        <v>1925.4153810583609</v>
      </c>
      <c r="F115" s="48">
        <f t="shared" si="76"/>
        <v>2058.617114373475</v>
      </c>
      <c r="G115" s="48">
        <f t="shared" si="76"/>
        <v>1727.4670082915716</v>
      </c>
      <c r="H115" s="48">
        <f t="shared" si="76"/>
        <v>1857.162804616921</v>
      </c>
      <c r="I115" s="48">
        <f t="shared" si="76"/>
        <v>1986.8586009422706</v>
      </c>
      <c r="J115" s="48">
        <f>SUM(J111:J114)</f>
        <v>325.85860094227064</v>
      </c>
      <c r="K115" s="47">
        <f>SUM(K111:K114)</f>
        <v>5039</v>
      </c>
      <c r="L115" s="47">
        <f t="shared" ref="L115:T115" si="77">SUM(L111:L114)</f>
        <v>5182.702034836474</v>
      </c>
      <c r="M115" s="47">
        <f t="shared" si="77"/>
        <v>5555.1657744826243</v>
      </c>
      <c r="N115" s="47">
        <f t="shared" si="77"/>
        <v>5905.7339441541035</v>
      </c>
      <c r="O115" s="47">
        <f t="shared" si="77"/>
        <v>866.73394415410348</v>
      </c>
      <c r="P115" s="47">
        <f t="shared" si="77"/>
        <v>1159.3191807019721</v>
      </c>
      <c r="Q115" s="47">
        <f t="shared" si="77"/>
        <v>1334.0437426203193</v>
      </c>
      <c r="R115" s="47">
        <f t="shared" si="77"/>
        <v>1376.4187426203191</v>
      </c>
      <c r="S115" s="47">
        <f t="shared" si="77"/>
        <v>1447.633742620319</v>
      </c>
      <c r="T115" s="48">
        <f t="shared" si="77"/>
        <v>288.31456191834712</v>
      </c>
      <c r="U115" s="47"/>
      <c r="W115" s="13">
        <v>3.0337146297411199</v>
      </c>
      <c r="X115" s="13">
        <v>2.9996420054932202</v>
      </c>
      <c r="Y115" s="13">
        <v>2.9907527491715395</v>
      </c>
      <c r="Z115" s="13">
        <v>2.9719988796548655</v>
      </c>
    </row>
    <row r="116" spans="1:26" ht="12.75" customHeight="1">
      <c r="A116" s="49"/>
      <c r="B116" s="46"/>
      <c r="C116" s="47"/>
      <c r="D116" s="47"/>
      <c r="E116" s="47"/>
      <c r="F116" s="50">
        <v>1997.2105999999999</v>
      </c>
      <c r="G116" s="50"/>
      <c r="H116" s="50"/>
      <c r="I116" s="50">
        <v>1997.2105999999999</v>
      </c>
      <c r="J116" s="48"/>
      <c r="K116" s="47"/>
      <c r="L116" s="47"/>
      <c r="M116" s="47"/>
      <c r="N116" s="47"/>
      <c r="O116" s="48"/>
      <c r="P116" s="48">
        <v>1117.6254380816531</v>
      </c>
      <c r="Q116" s="48"/>
      <c r="R116" s="48"/>
      <c r="S116" s="48"/>
      <c r="T116" s="48"/>
      <c r="U116" s="48"/>
    </row>
    <row r="117" spans="1:26" s="35" customFormat="1">
      <c r="A117" s="31"/>
      <c r="B117" s="32" t="s">
        <v>98</v>
      </c>
      <c r="C117" s="33">
        <f t="shared" ref="C117:T117" si="78">SUM(C8+C16+C48+C64+C84+C93+C103+C108+C115)</f>
        <v>36838</v>
      </c>
      <c r="D117" s="33">
        <f t="shared" si="78"/>
        <v>44141.473481696565</v>
      </c>
      <c r="E117" s="33">
        <f t="shared" si="78"/>
        <v>52108.272319176423</v>
      </c>
      <c r="F117" s="33">
        <f t="shared" si="78"/>
        <v>58925.071156656275</v>
      </c>
      <c r="G117" s="33">
        <f t="shared" si="78"/>
        <v>40907.240443465162</v>
      </c>
      <c r="H117" s="33">
        <f t="shared" si="78"/>
        <v>47658.653406039397</v>
      </c>
      <c r="I117" s="33">
        <f t="shared" si="78"/>
        <v>52826.066368613625</v>
      </c>
      <c r="J117" s="33">
        <f t="shared" si="78"/>
        <v>15988.06636861363</v>
      </c>
      <c r="K117" s="33">
        <f t="shared" si="78"/>
        <v>100076.17518248175</v>
      </c>
      <c r="L117" s="33">
        <f t="shared" si="78"/>
        <v>107556.97529140228</v>
      </c>
      <c r="M117" s="33">
        <f t="shared" si="78"/>
        <v>124359.60663283782</v>
      </c>
      <c r="N117" s="33">
        <f t="shared" si="78"/>
        <v>138104.87099534829</v>
      </c>
      <c r="O117" s="33">
        <f t="shared" si="78"/>
        <v>38028.695812866521</v>
      </c>
      <c r="P117" s="33">
        <f t="shared" si="78"/>
        <v>39476.930339103579</v>
      </c>
      <c r="Q117" s="33">
        <f t="shared" si="78"/>
        <v>49817.256084094879</v>
      </c>
      <c r="R117" s="33">
        <f t="shared" si="78"/>
        <v>54784.856528757482</v>
      </c>
      <c r="S117" s="33">
        <f t="shared" si="78"/>
        <v>58530.324102854873</v>
      </c>
      <c r="T117" s="33">
        <f t="shared" si="78"/>
        <v>19053.39376375129</v>
      </c>
      <c r="U117" s="34"/>
      <c r="W117" s="13">
        <v>2.7425393380358112</v>
      </c>
      <c r="X117" s="13">
        <v>2.6751598345456142</v>
      </c>
      <c r="Y117" s="13">
        <v>2.6584630887624634</v>
      </c>
      <c r="Z117" s="13">
        <v>2.6308297333058475</v>
      </c>
    </row>
    <row r="118" spans="1:26">
      <c r="A118" s="36"/>
      <c r="B118" s="37" t="s">
        <v>106</v>
      </c>
      <c r="C118" s="52">
        <v>36875</v>
      </c>
      <c r="D118" s="53"/>
      <c r="E118" s="53"/>
      <c r="F118" s="53">
        <v>52825</v>
      </c>
      <c r="G118" s="53">
        <v>40850</v>
      </c>
      <c r="H118" s="53">
        <v>47625</v>
      </c>
      <c r="I118" s="53">
        <v>52825</v>
      </c>
      <c r="J118" s="54"/>
      <c r="K118" s="54">
        <v>101090</v>
      </c>
      <c r="L118" s="54">
        <v>108600</v>
      </c>
      <c r="M118" s="54">
        <v>125250</v>
      </c>
      <c r="N118" s="54">
        <v>139650</v>
      </c>
      <c r="O118" s="54"/>
      <c r="P118" s="54">
        <v>39888</v>
      </c>
      <c r="Q118" s="54">
        <v>49800</v>
      </c>
      <c r="R118" s="54">
        <v>54800</v>
      </c>
      <c r="S118" s="54">
        <v>58600</v>
      </c>
      <c r="T118" s="54"/>
    </row>
    <row r="119" spans="1:26" hidden="1">
      <c r="K119" s="38">
        <f>SUM(K116:K117)</f>
        <v>100076.17518248175</v>
      </c>
    </row>
    <row r="120" spans="1:26" hidden="1">
      <c r="D120" s="38">
        <v>50912.386276516962</v>
      </c>
      <c r="E120" s="38">
        <v>61174.312690083185</v>
      </c>
      <c r="P120" s="38" t="s">
        <v>100</v>
      </c>
    </row>
    <row r="121" spans="1:26" hidden="1">
      <c r="B121" s="40" t="s">
        <v>99</v>
      </c>
      <c r="C121" s="41"/>
      <c r="D121" s="41">
        <v>49353</v>
      </c>
      <c r="E121" s="41">
        <v>59380</v>
      </c>
      <c r="F121" s="41"/>
      <c r="G121" s="41"/>
      <c r="H121" s="41"/>
      <c r="I121" s="41"/>
      <c r="J121" s="42"/>
      <c r="K121" s="41"/>
      <c r="L121" s="41"/>
      <c r="M121" s="41"/>
      <c r="N121" s="41"/>
      <c r="O121" s="42"/>
      <c r="P121" s="41">
        <v>38432.080814668014</v>
      </c>
      <c r="Q121" s="41"/>
      <c r="R121" s="41"/>
      <c r="S121" s="41"/>
      <c r="T121" s="42"/>
      <c r="U121" s="41"/>
    </row>
    <row r="122" spans="1:26" hidden="1">
      <c r="C122" s="39"/>
      <c r="D122" s="39">
        <v>-1559.3862765169615</v>
      </c>
      <c r="E122" s="39">
        <v>-1794.3126900831849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>
        <v>1</v>
      </c>
      <c r="Q122" s="39"/>
      <c r="R122" s="39"/>
      <c r="S122" s="39"/>
      <c r="T122" s="39"/>
      <c r="U122" s="39"/>
    </row>
    <row r="123" spans="1:26">
      <c r="K123" s="61" t="s">
        <v>140</v>
      </c>
    </row>
    <row r="124" spans="1:26">
      <c r="K124" s="61" t="s">
        <v>141</v>
      </c>
    </row>
    <row r="125" spans="1:26">
      <c r="C125" s="62"/>
    </row>
    <row r="130" spans="10:10">
      <c r="J130" s="38" t="s">
        <v>145</v>
      </c>
    </row>
  </sheetData>
  <pageMargins left="0.21" right="0.08" top="0.42" bottom="0.15" header="0.13" footer="0.1"/>
  <pageSetup scale="61" fitToHeight="4" orientation="portrait" r:id="rId1"/>
  <headerFooter alignWithMargins="0">
    <oddHeader>&amp;C&amp;"Arial,Bold"Cecil County TAZ Projections (Draft JUne 2014)</oddHeader>
  </headerFooter>
  <rowBreaks count="1" manualBreakCount="1">
    <brk id="64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Series)</vt:lpstr>
      <vt:lpstr>'2014 Series)'!Print_Area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ratledge</dc:creator>
  <cp:lastModifiedBy>Daniel Blevins</cp:lastModifiedBy>
  <cp:lastPrinted>2014-07-01T18:51:03Z</cp:lastPrinted>
  <dcterms:created xsi:type="dcterms:W3CDTF">2008-09-09T14:45:43Z</dcterms:created>
  <dcterms:modified xsi:type="dcterms:W3CDTF">2014-07-24T17:12:27Z</dcterms:modified>
</cp:coreProperties>
</file>